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aveExternalLinkValues="0" updateLinks="never" codeName="DieseArbeitsmappe" autoCompressPictures="0" defaultThemeVersion="124226"/>
  <bookViews>
    <workbookView showSheetTabs="0" xWindow="0" yWindow="0" windowWidth="24240" windowHeight="13740" tabRatio="765"/>
  </bookViews>
  <sheets>
    <sheet name="Startseite" sheetId="9" r:id="rId1"/>
    <sheet name="Fokus1" sheetId="2" r:id="rId2"/>
    <sheet name="Basis f1" sheetId="12" state="hidden" r:id="rId3"/>
    <sheet name="Fokus 3" sheetId="8" r:id="rId4"/>
    <sheet name="Diagramme" sheetId="11" r:id="rId5"/>
    <sheet name="Basis Diag." sheetId="10" state="hidden" r:id="rId6"/>
    <sheet name="Datenbank" sheetId="4" state="hidden" r:id="rId7"/>
    <sheet name="Liste Filter" sheetId="5" state="hidden" r:id="rId8"/>
    <sheet name="Liste" sheetId="6" state="hidden" r:id="rId9"/>
    <sheet name="Eingabetool" sheetId="7" state="hidden" r:id="rId10"/>
  </sheets>
  <externalReferences>
    <externalReference r:id="rId11"/>
    <externalReference r:id="rId12"/>
  </externalReferences>
  <definedNames>
    <definedName name="_xlnm._FilterDatabase" localSheetId="6" hidden="1">Datenbank!$A$5:$DL$158</definedName>
    <definedName name="_xlnm._FilterDatabase" localSheetId="3" hidden="1">'Fokus 3'!$A$7:$Q$98</definedName>
    <definedName name="_xlnm._FilterDatabase" localSheetId="7" hidden="1">'Liste Filter'!$M$13:$N$13</definedName>
    <definedName name="AuswahlFilter1">'Liste Filter'!$K$11</definedName>
    <definedName name="AuswahlFilter2">'Liste Filter'!$N$11</definedName>
    <definedName name="_xlnm.Database">Datenbank!$C$6:$DL$158</definedName>
    <definedName name="filter1">'Liste Filter'!$J$11</definedName>
    <definedName name="filter2">'Liste Filter'!$M$11</definedName>
    <definedName name="Liste1">'Liste Filter'!$J$14:$J$120</definedName>
    <definedName name="Liste1F10PlanenLogistischeD">'[1]Listen 1'!$X$6:$X$9</definedName>
    <definedName name="Liste1F11ZusammenarbeitLogistik">'[1]Listen 1'!$Z$6:$Z$10</definedName>
    <definedName name="Liste1F13Transport">'[1]Listen 1'!$AD$6:$AD$9</definedName>
    <definedName name="Liste1F14BeeinflussenTransport">'[1]Listen 1'!$AF$6:$AF$7</definedName>
    <definedName name="Liste1F17Dienstleister">'[1]Listen 1'!$AR$6:$AR$10</definedName>
    <definedName name="Liste1F17Expandieren">'[1]Listen 1'!$AL$6:$AL$8</definedName>
    <definedName name="Liste1F17MitarbeiterEinstellen">'[1]Listen 1'!$AP$6:$AP$8</definedName>
    <definedName name="Liste1F17VieleichtJa">'[1]Listen 1'!$AN$6:$AN$8</definedName>
    <definedName name="Liste1F1Branche">'[1]Listen 1'!$F$6:$F$15</definedName>
    <definedName name="Liste1F1Land">'[1]Listen 1'!$D$6:$D$7</definedName>
    <definedName name="Liste1F1Rechtsform">'[1]Listen 1'!$B$6:$B$14</definedName>
    <definedName name="Liste1F3Eigentumsverhältnisse">'[1]Listen 1'!$J$6:$J$12</definedName>
    <definedName name="Liste1F4Standort">'[1]Listen 1'!$L$6:$L$9</definedName>
    <definedName name="Liste1F5Kernkompetenz">'[1]Listen 1'!$N$6:$N$18</definedName>
    <definedName name="Liste1F6Gesamtumsatz">'[1]Listen 1'!$P$6:$P$11</definedName>
    <definedName name="Liste1F7Mitarbeiter">'[1]Listen 1'!$R$6:$R$13</definedName>
    <definedName name="Liste1F8ArbeitsplätzeLogistik">'[1]Listen 1'!$T$6:$T$11</definedName>
    <definedName name="liste2">'Liste Filter'!$M$14:$M$167</definedName>
    <definedName name="Prozent">Fokus1!$AJ$9</definedName>
    <definedName name="SuchSpalte">Datenbank!$DN$6:$DN$158</definedName>
    <definedName name="ta">Datenbank!$C$6:$C$158</definedName>
    <definedName name="taa">Datenbank!$AC$6:$AC$158</definedName>
    <definedName name="tab">Datenbank!$AD$6:$AD$158</definedName>
    <definedName name="tac">Datenbank!$AE$6:$AE$158</definedName>
    <definedName name="tad">Datenbank!$AF$6:$AF$158</definedName>
    <definedName name="tae">Datenbank!$AG$6:$AG$158</definedName>
    <definedName name="taf">Datenbank!$AH$6:$AH$158</definedName>
    <definedName name="tag">Datenbank!$AI$6:$AI$158</definedName>
    <definedName name="tah">Datenbank!$AJ$6:$AJ$158</definedName>
    <definedName name="tai">Datenbank!$AK$6:$AK$158</definedName>
    <definedName name="taj">Datenbank!$AL$6:$AL$158</definedName>
    <definedName name="tak">Datenbank!$AM$6:$AM$158</definedName>
    <definedName name="tal">Datenbank!$AN$6:$AN$158</definedName>
    <definedName name="tam">Datenbank!$AO$6:$AO$158</definedName>
    <definedName name="tan">Datenbank!$AP$6:$AP$158</definedName>
    <definedName name="tao">Datenbank!$AQ$6:$AQ$158</definedName>
    <definedName name="tap">Datenbank!$AR$6:$AR$158</definedName>
    <definedName name="taq">Datenbank!$AS$6:$AS$158</definedName>
    <definedName name="tar">Datenbank!$AT$6:$AT$158</definedName>
    <definedName name="tas">Datenbank!$AU$6:$AU$158</definedName>
    <definedName name="tat">Datenbank!$AV$6:$AV$158</definedName>
    <definedName name="tau">Datenbank!$AW$6:$AW$158</definedName>
    <definedName name="tav">Datenbank!$AX$6:$AX$158</definedName>
    <definedName name="taw">Datenbank!$AY$6:$AY$158</definedName>
    <definedName name="tax">Datenbank!$AZ$6:$AZ$158</definedName>
    <definedName name="tay">Datenbank!$BA$6:$BA$158</definedName>
    <definedName name="taz">Datenbank!$BB$6:$BB$158</definedName>
    <definedName name="tb">Datenbank!$D$6:$D$158</definedName>
    <definedName name="tba">Datenbank!$BC$6:$BC$158</definedName>
    <definedName name="tbb">Datenbank!$BD$6:$BD$158</definedName>
    <definedName name="tbc">Datenbank!$BE$6:$BE$158</definedName>
    <definedName name="tbd">Datenbank!$BF$6:$BF$158</definedName>
    <definedName name="tbe">Datenbank!$BG$6:$BG$158</definedName>
    <definedName name="tbf">Datenbank!$BH$6:$BH$158</definedName>
    <definedName name="tbg">Datenbank!$BI$6:$BI$158</definedName>
    <definedName name="tbh">Datenbank!$BJ$6:$BJ$158</definedName>
    <definedName name="tbi">Datenbank!$BK$6:$BK$158</definedName>
    <definedName name="tbj">Datenbank!$BL$6:$BL$158</definedName>
    <definedName name="tbk">Datenbank!$BM$6:$BM$158</definedName>
    <definedName name="tbl">Datenbank!$BN$6:$BN$158</definedName>
    <definedName name="tbm">Datenbank!$BO$6:$BO$158</definedName>
    <definedName name="tbn">Datenbank!$BP$6:$BP$158</definedName>
    <definedName name="tbo">Datenbank!$BQ$6:$BQ$158</definedName>
    <definedName name="tbp">Datenbank!$BR$6:$BR$158</definedName>
    <definedName name="tbq">Datenbank!$BS$6:$BS$158</definedName>
    <definedName name="tbr">Datenbank!$BT$6:$BT$158</definedName>
    <definedName name="tbs">Datenbank!$BU$6:$BU$158</definedName>
    <definedName name="tbt">Datenbank!$BV$6:$BV$158</definedName>
    <definedName name="tbu">Datenbank!$BW$6:$BW$158</definedName>
    <definedName name="tbv">Datenbank!$BX$6:$BX$158</definedName>
    <definedName name="tbw">Datenbank!$BY$6:$BY$158</definedName>
    <definedName name="tbx">Datenbank!$BZ$6:$BZ$158</definedName>
    <definedName name="tby">Datenbank!$CA$6:$CA$158</definedName>
    <definedName name="tbz">Datenbank!$CB$6:$CB$158</definedName>
    <definedName name="tc">Datenbank!$E$6:$E$158</definedName>
    <definedName name="tca">Datenbank!$CC$6:$CC$158</definedName>
    <definedName name="tcb">Datenbank!$CD$6:$CD$158</definedName>
    <definedName name="tcc">Datenbank!$CE$6:$CE$158</definedName>
    <definedName name="tcd">Datenbank!$CF$6:$CF$158</definedName>
    <definedName name="tce">Datenbank!$CG$6:$CG$158</definedName>
    <definedName name="tcf">Datenbank!$CH$6:$CH$158</definedName>
    <definedName name="tcg">Datenbank!$CI$6:$CI$158</definedName>
    <definedName name="tch">Datenbank!$CJ$6:$CJ$158</definedName>
    <definedName name="tci">Datenbank!$CK$6:$CK$158</definedName>
    <definedName name="tcj">Datenbank!$CL$6:$CL$158</definedName>
    <definedName name="tck">Datenbank!$CM$6:$CM$158</definedName>
    <definedName name="tcl">Datenbank!$CN$6:$CN$158</definedName>
    <definedName name="tcm">Datenbank!$CO$6:$CO$158</definedName>
    <definedName name="tcn">Datenbank!$CP$6:$CP$158</definedName>
    <definedName name="tco">Datenbank!$CQ$6:$CQ$158</definedName>
    <definedName name="tcp">Datenbank!$CR$6:$CR$158</definedName>
    <definedName name="tcq">Datenbank!$CS$6:$CS$158</definedName>
    <definedName name="tcr">Datenbank!$CT$6:$CT$158</definedName>
    <definedName name="tcs">Datenbank!$CU$6:$CU$158</definedName>
    <definedName name="tct">Datenbank!$CV$6:$CV$158</definedName>
    <definedName name="tcu">Datenbank!$CW$6:$CW$158</definedName>
    <definedName name="tcv">Datenbank!$CX$6:$CX$158</definedName>
    <definedName name="tcw">Datenbank!$CY$6:$CY$158</definedName>
    <definedName name="tcx">Datenbank!$CZ$6:$CZ$158</definedName>
    <definedName name="tcy">Datenbank!$DA$6:$DA$158</definedName>
    <definedName name="tcz">Datenbank!$DB$6:$DB$158</definedName>
    <definedName name="td">Datenbank!$F$6:$F$158</definedName>
    <definedName name="tda">Datenbank!$DC$6:$DC$158</definedName>
    <definedName name="tdb">Datenbank!$DD$6:$DD$158</definedName>
    <definedName name="tdc">Datenbank!$DE$6:$DE$158</definedName>
    <definedName name="tdd">Datenbank!$DF$6:$DF$158</definedName>
    <definedName name="tde">Datenbank!$DG$6:$DG$158</definedName>
    <definedName name="tdf">Datenbank!$DH$6:$DH$158</definedName>
    <definedName name="tdg">Datenbank!$DI$6:$DI$158</definedName>
    <definedName name="tdh">Datenbank!$DJ$6:$DJ$158</definedName>
    <definedName name="tdi">Datenbank!$DK$6:$DK$158</definedName>
    <definedName name="tdj">Datenbank!$DL$6:$DL$158</definedName>
    <definedName name="te">Datenbank!$G$6:$G$158</definedName>
    <definedName name="tf">Datenbank!$H$6:$H$158</definedName>
    <definedName name="tg">Datenbank!$I$6:$I$158</definedName>
    <definedName name="th">Datenbank!$J$6:$J$158</definedName>
    <definedName name="ti">Datenbank!$K$6:$K$158</definedName>
    <definedName name="tj">Datenbank!$L$6:$L$158</definedName>
    <definedName name="tk">Datenbank!$M$6:$M$158</definedName>
    <definedName name="tl">Datenbank!$N$6:$N$158</definedName>
    <definedName name="tm">Datenbank!$O$6:$O$158</definedName>
    <definedName name="tn">Datenbank!$P$6:$P$158</definedName>
    <definedName name="to">Datenbank!$Q$6:$Q$158</definedName>
    <definedName name="tp">Datenbank!$R$6:$R$158</definedName>
    <definedName name="tq">Datenbank!$S$6:$S$158</definedName>
    <definedName name="tr">Datenbank!$T$6:$T$158</definedName>
    <definedName name="ts">Datenbank!$U$6:$U$158</definedName>
    <definedName name="tt">Datenbank!$V$6:$V$158</definedName>
    <definedName name="tu">Datenbank!$W$6:$W$158</definedName>
    <definedName name="tv">Datenbank!$X$6:$X$158</definedName>
    <definedName name="tw">Datenbank!$Y$6:$Y$158</definedName>
    <definedName name="tx">Datenbank!$Z$6:$Z$158</definedName>
    <definedName name="ty">Datenbank!$AA$6:$AA$158</definedName>
    <definedName name="tz">Datenbank!$AB$6:$AB$158</definedName>
  </definedNames>
  <calcPr calcId="145621" calcMode="autoNoTable" concurrentCalc="0"/>
  <extLst>
    <ext xmlns:mx="http://schemas.microsoft.com/office/mac/excel/2008/main" uri="{7523E5D3-25F3-A5E0-1632-64F254C22452}">
      <mx:ArchID Flags="2"/>
    </ext>
  </extLst>
</workbook>
</file>

<file path=xl/calcChain.xml><?xml version="1.0" encoding="utf-8"?>
<calcChain xmlns="http://schemas.openxmlformats.org/spreadsheetml/2006/main">
  <c r="K11" i="5" l="1"/>
  <c r="C264" i="12"/>
  <c r="C265" i="12"/>
  <c r="C266" i="12"/>
  <c r="C267" i="12"/>
  <c r="C268" i="12"/>
  <c r="C269" i="12"/>
  <c r="C270" i="12"/>
  <c r="C271" i="12"/>
  <c r="C263" i="12"/>
  <c r="D264" i="2"/>
  <c r="C9" i="12"/>
  <c r="C10" i="12"/>
  <c r="C11" i="12"/>
  <c r="C12" i="12"/>
  <c r="C13" i="12"/>
  <c r="G9" i="12"/>
  <c r="G10" i="12"/>
  <c r="G11" i="12"/>
  <c r="G12" i="12"/>
  <c r="C8" i="12"/>
  <c r="D11" i="2"/>
  <c r="DM94" i="4"/>
  <c r="DN94" i="4"/>
  <c r="DM93" i="4"/>
  <c r="DN93" i="4"/>
  <c r="DM92" i="4"/>
  <c r="DN92" i="4"/>
  <c r="DM91" i="4"/>
  <c r="DN91" i="4"/>
  <c r="AJ10" i="2"/>
  <c r="DM7" i="4"/>
  <c r="DN7" i="4"/>
  <c r="DM15" i="4"/>
  <c r="DN15" i="4"/>
  <c r="DM16" i="4"/>
  <c r="DN16" i="4"/>
  <c r="DM17" i="4"/>
  <c r="DN17" i="4"/>
  <c r="DM6" i="4"/>
  <c r="DN6" i="4"/>
  <c r="DM8" i="4"/>
  <c r="DN8" i="4"/>
  <c r="DM9" i="4"/>
  <c r="DN9" i="4"/>
  <c r="DM10" i="4"/>
  <c r="DN10" i="4"/>
  <c r="DM11" i="4"/>
  <c r="DN11" i="4"/>
  <c r="DM12" i="4"/>
  <c r="DN12" i="4"/>
  <c r="DM13" i="4"/>
  <c r="DN13" i="4"/>
  <c r="DM14" i="4"/>
  <c r="DN14" i="4"/>
  <c r="DM18" i="4"/>
  <c r="DN18" i="4"/>
  <c r="DM19" i="4"/>
  <c r="DN19" i="4"/>
  <c r="DM20" i="4"/>
  <c r="DN20" i="4"/>
  <c r="DM21" i="4"/>
  <c r="DN21" i="4"/>
  <c r="DM22" i="4"/>
  <c r="DN22" i="4"/>
  <c r="DM23" i="4"/>
  <c r="DN23" i="4"/>
  <c r="DM24" i="4"/>
  <c r="DN24" i="4"/>
  <c r="DM25" i="4"/>
  <c r="DN25" i="4"/>
  <c r="DM26" i="4"/>
  <c r="DN26" i="4"/>
  <c r="DM27" i="4"/>
  <c r="DN27" i="4"/>
  <c r="DM28" i="4"/>
  <c r="DN28" i="4"/>
  <c r="DM29" i="4"/>
  <c r="DN29" i="4"/>
  <c r="DM30" i="4"/>
  <c r="DN30" i="4"/>
  <c r="DM31" i="4"/>
  <c r="DN31" i="4"/>
  <c r="DM32" i="4"/>
  <c r="DN32" i="4"/>
  <c r="DM33" i="4"/>
  <c r="DN33" i="4"/>
  <c r="DM34" i="4"/>
  <c r="DN34" i="4"/>
  <c r="DM35" i="4"/>
  <c r="DN35" i="4"/>
  <c r="DM36" i="4"/>
  <c r="DN36" i="4"/>
  <c r="DM37" i="4"/>
  <c r="DN37" i="4"/>
  <c r="DM38" i="4"/>
  <c r="DN38" i="4"/>
  <c r="DM39" i="4"/>
  <c r="DN39" i="4"/>
  <c r="DM40" i="4"/>
  <c r="DN40" i="4"/>
  <c r="DM41" i="4"/>
  <c r="DN41" i="4"/>
  <c r="DM42" i="4"/>
  <c r="DN42" i="4"/>
  <c r="DM43" i="4"/>
  <c r="DN43" i="4"/>
  <c r="DM44" i="4"/>
  <c r="DN44" i="4"/>
  <c r="DM45" i="4"/>
  <c r="DN45" i="4"/>
  <c r="DM46" i="4"/>
  <c r="DN46" i="4"/>
  <c r="DM47" i="4"/>
  <c r="DN47" i="4"/>
  <c r="DM48" i="4"/>
  <c r="DN48" i="4"/>
  <c r="DM49" i="4"/>
  <c r="DN49" i="4"/>
  <c r="DM50" i="4"/>
  <c r="DN50" i="4"/>
  <c r="DM51" i="4"/>
  <c r="DN51" i="4"/>
  <c r="DM52" i="4"/>
  <c r="DN52" i="4"/>
  <c r="DM53" i="4"/>
  <c r="DN53" i="4"/>
  <c r="DM54" i="4"/>
  <c r="DN54" i="4"/>
  <c r="DM55" i="4"/>
  <c r="DN55" i="4"/>
  <c r="DM56" i="4"/>
  <c r="DN56" i="4"/>
  <c r="DM57" i="4"/>
  <c r="DN57" i="4"/>
  <c r="DM58" i="4"/>
  <c r="DN58" i="4"/>
  <c r="DM59" i="4"/>
  <c r="DN59" i="4"/>
  <c r="DM60" i="4"/>
  <c r="DN60" i="4"/>
  <c r="DM61" i="4"/>
  <c r="DN61" i="4"/>
  <c r="DM62" i="4"/>
  <c r="DN62" i="4"/>
  <c r="DM63" i="4"/>
  <c r="DN63" i="4"/>
  <c r="DM64" i="4"/>
  <c r="DN64" i="4"/>
  <c r="DM65" i="4"/>
  <c r="DN65" i="4"/>
  <c r="DM66" i="4"/>
  <c r="DN66" i="4"/>
  <c r="DM67" i="4"/>
  <c r="DN67" i="4"/>
  <c r="DM68" i="4"/>
  <c r="DN68" i="4"/>
  <c r="DM69" i="4"/>
  <c r="DN69" i="4"/>
  <c r="DM70" i="4"/>
  <c r="DN70" i="4"/>
  <c r="DM71" i="4"/>
  <c r="DN71" i="4"/>
  <c r="DM72" i="4"/>
  <c r="DN72" i="4"/>
  <c r="DM73" i="4"/>
  <c r="DN73" i="4"/>
  <c r="DM74" i="4"/>
  <c r="DN74" i="4"/>
  <c r="DM75" i="4"/>
  <c r="DN75" i="4"/>
  <c r="DM76" i="4"/>
  <c r="DN76" i="4"/>
  <c r="DM77" i="4"/>
  <c r="DN77" i="4"/>
  <c r="DM78" i="4"/>
  <c r="DN78" i="4"/>
  <c r="DM79" i="4"/>
  <c r="DN79" i="4"/>
  <c r="DM80" i="4"/>
  <c r="DN80" i="4"/>
  <c r="DM81" i="4"/>
  <c r="DN81" i="4"/>
  <c r="DM82" i="4"/>
  <c r="DN82" i="4"/>
  <c r="DM83" i="4"/>
  <c r="DN83" i="4"/>
  <c r="DM84" i="4"/>
  <c r="DN84" i="4"/>
  <c r="DM85" i="4"/>
  <c r="DN85" i="4"/>
  <c r="DM86" i="4"/>
  <c r="DN86" i="4"/>
  <c r="DM87" i="4"/>
  <c r="DN87" i="4"/>
  <c r="DM88" i="4"/>
  <c r="DN88" i="4"/>
  <c r="DM89" i="4"/>
  <c r="DN89" i="4"/>
  <c r="DM90" i="4"/>
  <c r="DN90" i="4"/>
  <c r="G144" i="12"/>
  <c r="G145" i="12"/>
  <c r="G146" i="12"/>
  <c r="G147" i="12"/>
  <c r="G143" i="12"/>
  <c r="H145" i="2"/>
  <c r="G85" i="12"/>
  <c r="G86" i="12"/>
  <c r="G87" i="12"/>
  <c r="G88" i="12"/>
  <c r="G84" i="12"/>
  <c r="H87" i="2"/>
  <c r="C256" i="12"/>
  <c r="C257" i="12"/>
  <c r="C258" i="12"/>
  <c r="C259" i="12"/>
  <c r="C260" i="12"/>
  <c r="C255" i="12"/>
  <c r="D259" i="2"/>
  <c r="N76" i="5"/>
  <c r="N104" i="5"/>
  <c r="N142" i="5"/>
  <c r="N131" i="5"/>
  <c r="N37" i="5"/>
  <c r="N103" i="5"/>
  <c r="N19" i="5"/>
  <c r="N167" i="5"/>
  <c r="N113" i="5"/>
  <c r="N77" i="5"/>
  <c r="N23" i="5"/>
  <c r="N62" i="5"/>
  <c r="N24" i="5"/>
  <c r="N118" i="5"/>
  <c r="N94" i="5"/>
  <c r="N114" i="5"/>
  <c r="N160" i="5"/>
  <c r="N115" i="5"/>
  <c r="N58" i="5"/>
  <c r="N92" i="5"/>
  <c r="N74" i="5"/>
  <c r="N154" i="5"/>
  <c r="N129" i="5"/>
  <c r="N139" i="5"/>
  <c r="N64" i="5"/>
  <c r="N65" i="5"/>
  <c r="N85" i="5"/>
  <c r="N98" i="5"/>
  <c r="N116" i="5"/>
  <c r="N30" i="5"/>
  <c r="N82" i="5"/>
  <c r="N99" i="5"/>
  <c r="N163" i="5"/>
  <c r="N132" i="5"/>
  <c r="N134" i="5"/>
  <c r="N143" i="5"/>
  <c r="N84" i="5"/>
  <c r="N107" i="5"/>
  <c r="N51" i="5"/>
  <c r="N16" i="5"/>
  <c r="N111" i="5"/>
  <c r="N52" i="5"/>
  <c r="N124" i="5"/>
  <c r="N125" i="5"/>
  <c r="N69" i="5"/>
  <c r="N45" i="5"/>
  <c r="N145" i="5"/>
  <c r="N54" i="5"/>
  <c r="N42" i="5"/>
  <c r="N61" i="5"/>
  <c r="N44" i="5"/>
  <c r="N70" i="5"/>
  <c r="N53" i="5"/>
  <c r="N67" i="5"/>
  <c r="N48" i="5"/>
  <c r="N128" i="5"/>
  <c r="N138" i="5"/>
  <c r="N15" i="5"/>
  <c r="N47" i="5"/>
  <c r="N27" i="5"/>
  <c r="N147" i="5"/>
  <c r="N119" i="5"/>
  <c r="N106" i="5"/>
  <c r="N81" i="5"/>
  <c r="N109" i="5"/>
  <c r="N136" i="5"/>
  <c r="N18" i="5"/>
  <c r="N22" i="5"/>
  <c r="DM95" i="4"/>
  <c r="DM96" i="4"/>
  <c r="DM97" i="4"/>
  <c r="DM98" i="4"/>
  <c r="DM99" i="4"/>
  <c r="DM100" i="4"/>
  <c r="DM101" i="4"/>
  <c r="DM102" i="4"/>
  <c r="DM103" i="4"/>
  <c r="DM104" i="4"/>
  <c r="DM105" i="4"/>
  <c r="DM106" i="4"/>
  <c r="DM107" i="4"/>
  <c r="DM108" i="4"/>
  <c r="DM109" i="4"/>
  <c r="DM110" i="4"/>
  <c r="DM111" i="4"/>
  <c r="DM112" i="4"/>
  <c r="DM113" i="4"/>
  <c r="DM114" i="4"/>
  <c r="DM115" i="4"/>
  <c r="DM116" i="4"/>
  <c r="DM117" i="4"/>
  <c r="DM118" i="4"/>
  <c r="DM119" i="4"/>
  <c r="DM120" i="4"/>
  <c r="DM121" i="4"/>
  <c r="DM122" i="4"/>
  <c r="DM123" i="4"/>
  <c r="DM124" i="4"/>
  <c r="DM125" i="4"/>
  <c r="DM126" i="4"/>
  <c r="DM127" i="4"/>
  <c r="DM128" i="4"/>
  <c r="DM129" i="4"/>
  <c r="DM130" i="4"/>
  <c r="DM131" i="4"/>
  <c r="DM132" i="4"/>
  <c r="DM133" i="4"/>
  <c r="DM134" i="4"/>
  <c r="DM135" i="4"/>
  <c r="DM136" i="4"/>
  <c r="DM137" i="4"/>
  <c r="DM138" i="4"/>
  <c r="DM139" i="4"/>
  <c r="DM140" i="4"/>
  <c r="DM141" i="4"/>
  <c r="DM142" i="4"/>
  <c r="DM143" i="4"/>
  <c r="DM144" i="4"/>
  <c r="DM145" i="4"/>
  <c r="DM146" i="4"/>
  <c r="DM147" i="4"/>
  <c r="DM148" i="4"/>
  <c r="DM149" i="4"/>
  <c r="DM150" i="4"/>
  <c r="DM151" i="4"/>
  <c r="DM152" i="4"/>
  <c r="DM153" i="4"/>
  <c r="DM154" i="4"/>
  <c r="DM155" i="4"/>
  <c r="DM156" i="4"/>
  <c r="DM157" i="4"/>
  <c r="DM158" i="4"/>
  <c r="D271" i="2"/>
  <c r="D270" i="2"/>
  <c r="D269" i="2"/>
  <c r="D268" i="2"/>
  <c r="D267" i="2"/>
  <c r="D266" i="2"/>
  <c r="D265" i="2"/>
  <c r="D257" i="2"/>
  <c r="D258" i="2"/>
  <c r="D260" i="2"/>
  <c r="D256" i="2"/>
  <c r="C250" i="12"/>
  <c r="C251" i="12"/>
  <c r="C252" i="12"/>
  <c r="C249" i="12"/>
  <c r="D251" i="2"/>
  <c r="D252" i="2"/>
  <c r="D250" i="2"/>
  <c r="C244" i="12"/>
  <c r="C245" i="12"/>
  <c r="C246" i="12"/>
  <c r="C243" i="12"/>
  <c r="D246" i="2"/>
  <c r="D245" i="2"/>
  <c r="D244" i="2"/>
  <c r="C235" i="12"/>
  <c r="C236" i="12"/>
  <c r="C237" i="12"/>
  <c r="C234" i="12"/>
  <c r="D236" i="2"/>
  <c r="D237" i="2"/>
  <c r="D235" i="2"/>
  <c r="G223" i="12"/>
  <c r="G224" i="12"/>
  <c r="G225" i="12"/>
  <c r="G226" i="12"/>
  <c r="G227" i="12"/>
  <c r="G228" i="12"/>
  <c r="G229" i="12"/>
  <c r="G230" i="12"/>
  <c r="G231" i="12"/>
  <c r="G222" i="12"/>
  <c r="H223" i="2"/>
  <c r="H224" i="2"/>
  <c r="H225" i="2"/>
  <c r="H226" i="2"/>
  <c r="H227" i="2"/>
  <c r="H228" i="2"/>
  <c r="H229" i="2"/>
  <c r="H230" i="2"/>
  <c r="H231" i="2"/>
  <c r="G211" i="12"/>
  <c r="G212" i="12"/>
  <c r="G213" i="12"/>
  <c r="G214" i="12"/>
  <c r="G215" i="12"/>
  <c r="G216" i="12"/>
  <c r="G217" i="12"/>
  <c r="G218" i="12"/>
  <c r="G219" i="12"/>
  <c r="G210" i="12"/>
  <c r="H219" i="2"/>
  <c r="H218" i="2"/>
  <c r="H217" i="2"/>
  <c r="H216" i="2"/>
  <c r="H215" i="2"/>
  <c r="H214" i="2"/>
  <c r="H213" i="2"/>
  <c r="H212" i="2"/>
  <c r="H211" i="2"/>
  <c r="C205" i="12"/>
  <c r="C206" i="12"/>
  <c r="C204" i="12"/>
  <c r="D206" i="2"/>
  <c r="D205" i="2"/>
  <c r="C198" i="12"/>
  <c r="C199" i="12"/>
  <c r="C200" i="12"/>
  <c r="C201" i="12"/>
  <c r="C197" i="12"/>
  <c r="D199" i="2"/>
  <c r="D200" i="2"/>
  <c r="D201" i="2"/>
  <c r="D198" i="2"/>
  <c r="G190" i="12"/>
  <c r="G191" i="12"/>
  <c r="G192" i="12"/>
  <c r="G193" i="12"/>
  <c r="G189" i="12"/>
  <c r="H191" i="2"/>
  <c r="H192" i="2"/>
  <c r="H193" i="2"/>
  <c r="H190" i="2"/>
  <c r="C190" i="12"/>
  <c r="C191" i="12"/>
  <c r="C192" i="12"/>
  <c r="C193" i="12"/>
  <c r="C189" i="12"/>
  <c r="D191" i="2"/>
  <c r="D192" i="2"/>
  <c r="D193" i="2"/>
  <c r="D190" i="2"/>
  <c r="C178" i="12"/>
  <c r="C179" i="12"/>
  <c r="C180" i="12"/>
  <c r="C181" i="12"/>
  <c r="C182" i="12"/>
  <c r="C183" i="12"/>
  <c r="C184" i="12"/>
  <c r="C177" i="12"/>
  <c r="D179" i="2"/>
  <c r="D180" i="2"/>
  <c r="D181" i="2"/>
  <c r="D182" i="2"/>
  <c r="D183" i="2"/>
  <c r="D184" i="2"/>
  <c r="D178" i="2"/>
  <c r="G169" i="12"/>
  <c r="G170" i="12"/>
  <c r="G171" i="12"/>
  <c r="G172" i="12"/>
  <c r="G173" i="12"/>
  <c r="G168" i="12"/>
  <c r="H170" i="2"/>
  <c r="H171" i="2"/>
  <c r="H172" i="2"/>
  <c r="H173" i="2"/>
  <c r="H169" i="2"/>
  <c r="C169" i="12"/>
  <c r="C170" i="12"/>
  <c r="C171" i="12"/>
  <c r="C172" i="12"/>
  <c r="C173" i="12"/>
  <c r="C168" i="12"/>
  <c r="D170" i="2"/>
  <c r="D171" i="2"/>
  <c r="D172" i="2"/>
  <c r="D173" i="2"/>
  <c r="D169" i="2"/>
  <c r="G162" i="12"/>
  <c r="G163" i="12"/>
  <c r="G164" i="12"/>
  <c r="G165" i="12"/>
  <c r="G166" i="12"/>
  <c r="G161" i="12"/>
  <c r="H163" i="2"/>
  <c r="H164" i="2"/>
  <c r="H165" i="2"/>
  <c r="H166" i="2"/>
  <c r="H162" i="2"/>
  <c r="C162" i="12"/>
  <c r="C163" i="12"/>
  <c r="C164" i="12"/>
  <c r="C165" i="12"/>
  <c r="C166" i="12"/>
  <c r="C161" i="12"/>
  <c r="D163" i="2"/>
  <c r="D164" i="2"/>
  <c r="D165" i="2"/>
  <c r="D166" i="2"/>
  <c r="D162" i="2"/>
  <c r="G154" i="12"/>
  <c r="G155" i="12"/>
  <c r="G156" i="12"/>
  <c r="G157" i="12"/>
  <c r="G158" i="12"/>
  <c r="G153" i="12"/>
  <c r="H155" i="2"/>
  <c r="H156" i="2"/>
  <c r="H157" i="2"/>
  <c r="H158" i="2"/>
  <c r="H154" i="2"/>
  <c r="C154" i="12"/>
  <c r="C155" i="12"/>
  <c r="C156" i="12"/>
  <c r="C157" i="12"/>
  <c r="C158" i="12"/>
  <c r="C153" i="12"/>
  <c r="D155" i="2"/>
  <c r="D156" i="2"/>
  <c r="D157" i="2"/>
  <c r="D158" i="2"/>
  <c r="D154" i="2"/>
  <c r="H146" i="2"/>
  <c r="H147" i="2"/>
  <c r="H144" i="2"/>
  <c r="G130" i="12"/>
  <c r="G131" i="12"/>
  <c r="G132" i="12"/>
  <c r="G133" i="12"/>
  <c r="G134" i="12"/>
  <c r="G135" i="12"/>
  <c r="G137" i="12"/>
  <c r="G138" i="12"/>
  <c r="G139" i="12"/>
  <c r="G140" i="12"/>
  <c r="G129" i="12"/>
  <c r="H140" i="2"/>
  <c r="H139" i="2"/>
  <c r="H138" i="2"/>
  <c r="H137" i="2"/>
  <c r="H135" i="2"/>
  <c r="H134" i="2"/>
  <c r="H133" i="2"/>
  <c r="H132" i="2"/>
  <c r="H131" i="2"/>
  <c r="H130" i="2"/>
  <c r="C123" i="12"/>
  <c r="C124" i="12"/>
  <c r="C125" i="12"/>
  <c r="G123" i="12"/>
  <c r="G124" i="12"/>
  <c r="G125" i="12"/>
  <c r="C122" i="12"/>
  <c r="H124" i="2"/>
  <c r="H125" i="2"/>
  <c r="H123" i="2"/>
  <c r="D123" i="2"/>
  <c r="D124" i="2"/>
  <c r="D125" i="2"/>
  <c r="C115" i="12"/>
  <c r="C116" i="12"/>
  <c r="C117" i="12"/>
  <c r="C118" i="12"/>
  <c r="G115" i="12"/>
  <c r="G116" i="12"/>
  <c r="G117" i="12"/>
  <c r="G118" i="12"/>
  <c r="C114" i="12"/>
  <c r="H116" i="2"/>
  <c r="H117" i="2"/>
  <c r="H118" i="2"/>
  <c r="H115" i="2"/>
  <c r="D115" i="2"/>
  <c r="D116" i="2"/>
  <c r="D117" i="2"/>
  <c r="D118" i="2"/>
  <c r="C109" i="12"/>
  <c r="C110" i="12"/>
  <c r="C111" i="12"/>
  <c r="G109" i="12"/>
  <c r="G110" i="12"/>
  <c r="G111" i="12"/>
  <c r="C108" i="12"/>
  <c r="H110" i="2"/>
  <c r="H111" i="2"/>
  <c r="H109" i="2"/>
  <c r="D110" i="2"/>
  <c r="D111" i="2"/>
  <c r="D109" i="2"/>
  <c r="G92" i="12"/>
  <c r="G93" i="12"/>
  <c r="G94" i="12"/>
  <c r="G95" i="12"/>
  <c r="G96" i="12"/>
  <c r="G97" i="12"/>
  <c r="G98" i="12"/>
  <c r="G99" i="12"/>
  <c r="G100" i="12"/>
  <c r="G101" i="12"/>
  <c r="G102" i="12"/>
  <c r="G103" i="12"/>
  <c r="G104" i="12"/>
  <c r="G91" i="12"/>
  <c r="H93" i="2"/>
  <c r="H94" i="2"/>
  <c r="H95" i="2"/>
  <c r="H96" i="2"/>
  <c r="H97" i="2"/>
  <c r="H98" i="2"/>
  <c r="H99" i="2"/>
  <c r="H100" i="2"/>
  <c r="H101" i="2"/>
  <c r="H102" i="2"/>
  <c r="H103" i="2"/>
  <c r="H104" i="2"/>
  <c r="H92" i="2"/>
  <c r="H86" i="2"/>
  <c r="H88" i="2"/>
  <c r="H85" i="2"/>
  <c r="C78" i="12"/>
  <c r="C79" i="12"/>
  <c r="C80" i="12"/>
  <c r="C81" i="12"/>
  <c r="G78" i="12"/>
  <c r="G79" i="12"/>
  <c r="G80" i="12"/>
  <c r="C77" i="12"/>
  <c r="H79" i="2"/>
  <c r="H80" i="2"/>
  <c r="H78" i="2"/>
  <c r="D79" i="2"/>
  <c r="D80" i="2"/>
  <c r="D81" i="2"/>
  <c r="D78" i="2"/>
  <c r="C65" i="12"/>
  <c r="C66" i="12"/>
  <c r="C67" i="12"/>
  <c r="C68" i="12"/>
  <c r="C69" i="12"/>
  <c r="C70" i="12"/>
  <c r="C71" i="12"/>
  <c r="C72" i="12"/>
  <c r="C73" i="12"/>
  <c r="C74" i="12"/>
  <c r="G65" i="12"/>
  <c r="G66" i="12"/>
  <c r="G67" i="12"/>
  <c r="G68" i="12"/>
  <c r="G69" i="12"/>
  <c r="G70" i="12"/>
  <c r="G71" i="12"/>
  <c r="G72" i="12"/>
  <c r="G73" i="12"/>
  <c r="G74" i="12"/>
  <c r="C64" i="12"/>
  <c r="H66" i="2"/>
  <c r="H67" i="2"/>
  <c r="H68" i="2"/>
  <c r="H69" i="2"/>
  <c r="H70" i="2"/>
  <c r="H71" i="2"/>
  <c r="H72" i="2"/>
  <c r="H73" i="2"/>
  <c r="H74" i="2"/>
  <c r="H65" i="2"/>
  <c r="D66" i="2"/>
  <c r="D67" i="2"/>
  <c r="D68" i="2"/>
  <c r="D69" i="2"/>
  <c r="D70" i="2"/>
  <c r="D71" i="2"/>
  <c r="D72" i="2"/>
  <c r="D73" i="2"/>
  <c r="D74" i="2"/>
  <c r="D65" i="2"/>
  <c r="C53" i="12"/>
  <c r="C54" i="12"/>
  <c r="C55" i="12"/>
  <c r="C56" i="12"/>
  <c r="C57" i="12"/>
  <c r="C58" i="12"/>
  <c r="C59" i="12"/>
  <c r="C60" i="12"/>
  <c r="C61" i="12"/>
  <c r="C62" i="12"/>
  <c r="G53" i="12"/>
  <c r="G54" i="12"/>
  <c r="G55" i="12"/>
  <c r="G56" i="12"/>
  <c r="G57" i="12"/>
  <c r="G58" i="12"/>
  <c r="G59" i="12"/>
  <c r="G60" i="12"/>
  <c r="G61" i="12"/>
  <c r="G62" i="12"/>
  <c r="C52" i="12"/>
  <c r="H54" i="2"/>
  <c r="H55" i="2"/>
  <c r="H56" i="2"/>
  <c r="H57" i="2"/>
  <c r="H58" i="2"/>
  <c r="H59" i="2"/>
  <c r="H60" i="2"/>
  <c r="H61" i="2"/>
  <c r="H62" i="2"/>
  <c r="H53" i="2"/>
  <c r="D54" i="2"/>
  <c r="D55" i="2"/>
  <c r="D56" i="2"/>
  <c r="D57" i="2"/>
  <c r="D58" i="2"/>
  <c r="D59" i="2"/>
  <c r="D60" i="2"/>
  <c r="D61" i="2"/>
  <c r="D62" i="2"/>
  <c r="D53" i="2"/>
  <c r="C41" i="12"/>
  <c r="C42" i="12"/>
  <c r="C43" i="12"/>
  <c r="C44" i="12"/>
  <c r="C45" i="12"/>
  <c r="C46" i="12"/>
  <c r="C47" i="12"/>
  <c r="C48" i="12"/>
  <c r="C49" i="12"/>
  <c r="C50" i="12"/>
  <c r="G41" i="12"/>
  <c r="G42" i="12"/>
  <c r="G43" i="12"/>
  <c r="G44" i="12"/>
  <c r="G45" i="12"/>
  <c r="G46" i="12"/>
  <c r="G47" i="12"/>
  <c r="G48" i="12"/>
  <c r="G49" i="12"/>
  <c r="G50" i="12"/>
  <c r="C40" i="12"/>
  <c r="H42" i="2"/>
  <c r="H43" i="2"/>
  <c r="H44" i="2"/>
  <c r="H45" i="2"/>
  <c r="H46" i="2"/>
  <c r="H47" i="2"/>
  <c r="H48" i="2"/>
  <c r="H49" i="2"/>
  <c r="H50" i="2"/>
  <c r="H41" i="2"/>
  <c r="D41" i="2"/>
  <c r="D42" i="2"/>
  <c r="D43" i="2"/>
  <c r="D44" i="2"/>
  <c r="D45" i="2"/>
  <c r="D46" i="2"/>
  <c r="D47" i="2"/>
  <c r="D48" i="2"/>
  <c r="D49" i="2"/>
  <c r="D50" i="2"/>
  <c r="C29" i="12"/>
  <c r="C30" i="12"/>
  <c r="C31" i="12"/>
  <c r="C32" i="12"/>
  <c r="C33" i="12"/>
  <c r="C34" i="12"/>
  <c r="C35" i="12"/>
  <c r="C36" i="12"/>
  <c r="C37" i="12"/>
  <c r="C38" i="12"/>
  <c r="G29" i="12"/>
  <c r="G30" i="12"/>
  <c r="G31" i="12"/>
  <c r="G32" i="12"/>
  <c r="G33" i="12"/>
  <c r="G34" i="12"/>
  <c r="G35" i="12"/>
  <c r="G36" i="12"/>
  <c r="G37" i="12"/>
  <c r="G38" i="12"/>
  <c r="C28" i="12"/>
  <c r="H30" i="2"/>
  <c r="H31" i="2"/>
  <c r="H32" i="2"/>
  <c r="H33" i="2"/>
  <c r="H34" i="2"/>
  <c r="H35" i="2"/>
  <c r="H36" i="2"/>
  <c r="H37" i="2"/>
  <c r="H38" i="2"/>
  <c r="H29" i="2"/>
  <c r="D29" i="2"/>
  <c r="D30" i="2"/>
  <c r="D31" i="2"/>
  <c r="D32" i="2"/>
  <c r="D33" i="2"/>
  <c r="D34" i="2"/>
  <c r="D35" i="2"/>
  <c r="D36" i="2"/>
  <c r="D37" i="2"/>
  <c r="D38" i="2"/>
  <c r="C20" i="12"/>
  <c r="C21" i="12"/>
  <c r="C22" i="12"/>
  <c r="C23" i="12"/>
  <c r="C24" i="12"/>
  <c r="G20" i="12"/>
  <c r="G21" i="12"/>
  <c r="G22" i="12"/>
  <c r="G23" i="12"/>
  <c r="G24" i="12"/>
  <c r="C19" i="12"/>
  <c r="H21" i="2"/>
  <c r="H22" i="2"/>
  <c r="H23" i="2"/>
  <c r="H24" i="2"/>
  <c r="H20" i="2"/>
  <c r="D20" i="2"/>
  <c r="D21" i="2"/>
  <c r="D22" i="2"/>
  <c r="D23" i="2"/>
  <c r="D24" i="2"/>
  <c r="D9" i="2"/>
  <c r="C17" i="12"/>
  <c r="G17" i="12"/>
  <c r="C16" i="12"/>
  <c r="H17" i="2"/>
  <c r="D17" i="2"/>
  <c r="D10" i="2"/>
  <c r="D12" i="2"/>
  <c r="D13" i="2"/>
  <c r="H10" i="2"/>
  <c r="H11" i="2"/>
  <c r="H12" i="2"/>
  <c r="H9" i="2"/>
  <c r="D263" i="2"/>
  <c r="D255" i="2"/>
  <c r="D249" i="2"/>
  <c r="D243" i="2"/>
  <c r="D234" i="2"/>
  <c r="H222" i="2"/>
  <c r="H210" i="2"/>
  <c r="D204" i="2"/>
  <c r="D197" i="2"/>
  <c r="H189" i="2"/>
  <c r="D189" i="2"/>
  <c r="D177" i="2"/>
  <c r="D168" i="2"/>
  <c r="H168" i="2"/>
  <c r="H161" i="2"/>
  <c r="D161" i="2"/>
  <c r="H153" i="2"/>
  <c r="D153" i="2"/>
  <c r="H143" i="2"/>
  <c r="H129" i="2"/>
  <c r="D122" i="2"/>
  <c r="D114" i="2"/>
  <c r="D108" i="2"/>
  <c r="H91" i="2"/>
  <c r="H84" i="2"/>
  <c r="D77" i="2"/>
  <c r="D64" i="2"/>
  <c r="D52" i="2"/>
  <c r="D40" i="2"/>
  <c r="D28" i="2"/>
  <c r="C19" i="2"/>
  <c r="C16" i="2"/>
  <c r="C8" i="2"/>
  <c r="N91" i="5"/>
  <c r="N11" i="5"/>
  <c r="D271" i="12"/>
  <c r="D270" i="12"/>
  <c r="D269" i="12"/>
  <c r="D268" i="12"/>
  <c r="D267" i="12"/>
  <c r="D266" i="12"/>
  <c r="D265" i="12"/>
  <c r="D264" i="12"/>
  <c r="D260" i="12"/>
  <c r="D259" i="12"/>
  <c r="D258" i="12"/>
  <c r="D257" i="12"/>
  <c r="D256" i="12"/>
  <c r="D252" i="12"/>
  <c r="D251" i="12"/>
  <c r="D250" i="12"/>
  <c r="D246" i="12"/>
  <c r="D245" i="12"/>
  <c r="D244" i="12"/>
  <c r="D237" i="12"/>
  <c r="D236" i="12"/>
  <c r="D235" i="12"/>
  <c r="H231" i="12"/>
  <c r="H230" i="12"/>
  <c r="H229" i="12"/>
  <c r="H228" i="12"/>
  <c r="H227" i="12"/>
  <c r="H226" i="12"/>
  <c r="H225" i="12"/>
  <c r="H224" i="12"/>
  <c r="H223" i="12"/>
  <c r="N219" i="12"/>
  <c r="H219" i="12"/>
  <c r="N218" i="12"/>
  <c r="H218" i="12"/>
  <c r="N217" i="12"/>
  <c r="H217" i="12"/>
  <c r="N216" i="12"/>
  <c r="H216" i="12"/>
  <c r="N215" i="12"/>
  <c r="H215" i="12"/>
  <c r="N214" i="12"/>
  <c r="H214" i="12"/>
  <c r="N213" i="12"/>
  <c r="H213" i="12"/>
  <c r="N212" i="12"/>
  <c r="H212" i="12"/>
  <c r="N211" i="12"/>
  <c r="H211" i="12"/>
  <c r="D206" i="12"/>
  <c r="D205" i="12"/>
  <c r="D201" i="12"/>
  <c r="D200" i="12"/>
  <c r="D199" i="12"/>
  <c r="D198" i="12"/>
  <c r="H193" i="12"/>
  <c r="D193" i="12"/>
  <c r="H192" i="12"/>
  <c r="D192" i="12"/>
  <c r="H191" i="12"/>
  <c r="D191" i="12"/>
  <c r="H190" i="12"/>
  <c r="D190" i="12"/>
  <c r="N184" i="12"/>
  <c r="D184" i="12"/>
  <c r="N183" i="12"/>
  <c r="D183" i="12"/>
  <c r="N182" i="12"/>
  <c r="D182" i="12"/>
  <c r="N181" i="12"/>
  <c r="D181" i="12"/>
  <c r="N180" i="12"/>
  <c r="D180" i="12"/>
  <c r="N179" i="12"/>
  <c r="D179" i="12"/>
  <c r="N178" i="12"/>
  <c r="D178" i="12"/>
  <c r="H173" i="12"/>
  <c r="D173" i="12"/>
  <c r="H172" i="12"/>
  <c r="D172" i="12"/>
  <c r="H171" i="12"/>
  <c r="D171" i="12"/>
  <c r="H170" i="12"/>
  <c r="D170" i="12"/>
  <c r="H169" i="12"/>
  <c r="D169" i="12"/>
  <c r="H166" i="12"/>
  <c r="D166" i="12"/>
  <c r="H165" i="12"/>
  <c r="D165" i="12"/>
  <c r="H164" i="12"/>
  <c r="D164" i="12"/>
  <c r="H163" i="12"/>
  <c r="D163" i="12"/>
  <c r="H162" i="12"/>
  <c r="D162" i="12"/>
  <c r="H158" i="12"/>
  <c r="D158" i="12"/>
  <c r="H157" i="12"/>
  <c r="D157" i="12"/>
  <c r="H156" i="12"/>
  <c r="D156" i="12"/>
  <c r="H155" i="12"/>
  <c r="D155" i="12"/>
  <c r="H154" i="12"/>
  <c r="D154" i="12"/>
  <c r="H147" i="12"/>
  <c r="H146" i="12"/>
  <c r="H145" i="12"/>
  <c r="H144" i="12"/>
  <c r="P140" i="12"/>
  <c r="H140" i="12"/>
  <c r="P139" i="12"/>
  <c r="H139" i="12"/>
  <c r="P138" i="12"/>
  <c r="H138" i="12"/>
  <c r="P137" i="12"/>
  <c r="H137" i="12"/>
  <c r="P135" i="12"/>
  <c r="H135" i="12"/>
  <c r="P134" i="12"/>
  <c r="H134" i="12"/>
  <c r="P133" i="12"/>
  <c r="H133" i="12"/>
  <c r="P132" i="12"/>
  <c r="H132" i="12"/>
  <c r="P131" i="12"/>
  <c r="H131" i="12"/>
  <c r="P130" i="12"/>
  <c r="H130" i="12"/>
  <c r="H125" i="12"/>
  <c r="D125" i="12"/>
  <c r="H124" i="12"/>
  <c r="D124" i="12"/>
  <c r="H123" i="12"/>
  <c r="D123" i="12"/>
  <c r="H118" i="12"/>
  <c r="D118" i="12"/>
  <c r="H117" i="12"/>
  <c r="D117" i="12"/>
  <c r="H116" i="12"/>
  <c r="D116" i="12"/>
  <c r="H115" i="12"/>
  <c r="D115" i="12"/>
  <c r="H111" i="12"/>
  <c r="D111" i="12"/>
  <c r="H110" i="12"/>
  <c r="D110" i="12"/>
  <c r="H109" i="12"/>
  <c r="D109" i="12"/>
  <c r="H104" i="12"/>
  <c r="H103" i="12"/>
  <c r="H102" i="12"/>
  <c r="H101" i="12"/>
  <c r="H100" i="12"/>
  <c r="H99" i="12"/>
  <c r="H98" i="12"/>
  <c r="H97" i="12"/>
  <c r="H96" i="12"/>
  <c r="H95" i="12"/>
  <c r="H94" i="12"/>
  <c r="H93" i="12"/>
  <c r="H92" i="12"/>
  <c r="H88" i="12"/>
  <c r="H87" i="12"/>
  <c r="H86" i="12"/>
  <c r="H85" i="12"/>
  <c r="D81" i="12"/>
  <c r="H80" i="12"/>
  <c r="D80" i="12"/>
  <c r="H79" i="12"/>
  <c r="D79" i="12"/>
  <c r="H78" i="12"/>
  <c r="D78" i="12"/>
  <c r="H74" i="12"/>
  <c r="D74" i="12"/>
  <c r="H73" i="12"/>
  <c r="D73" i="12"/>
  <c r="H72" i="12"/>
  <c r="D72" i="12"/>
  <c r="H71" i="12"/>
  <c r="D71" i="12"/>
  <c r="H70" i="12"/>
  <c r="D70" i="12"/>
  <c r="H69" i="12"/>
  <c r="D69" i="12"/>
  <c r="H68" i="12"/>
  <c r="D68" i="12"/>
  <c r="H67" i="12"/>
  <c r="D67" i="12"/>
  <c r="H66" i="12"/>
  <c r="D66" i="12"/>
  <c r="H65" i="12"/>
  <c r="D65" i="12"/>
  <c r="H62" i="12"/>
  <c r="D62" i="12"/>
  <c r="H61" i="12"/>
  <c r="D61" i="12"/>
  <c r="H60" i="12"/>
  <c r="D60" i="12"/>
  <c r="H59" i="12"/>
  <c r="D59" i="12"/>
  <c r="H58" i="12"/>
  <c r="D58" i="12"/>
  <c r="H57" i="12"/>
  <c r="D57" i="12"/>
  <c r="H56" i="12"/>
  <c r="D56" i="12"/>
  <c r="H55" i="12"/>
  <c r="D55" i="12"/>
  <c r="H54" i="12"/>
  <c r="D54" i="12"/>
  <c r="H53" i="12"/>
  <c r="D53" i="12"/>
  <c r="H50" i="12"/>
  <c r="D50" i="12"/>
  <c r="H49" i="12"/>
  <c r="D49" i="12"/>
  <c r="H48" i="12"/>
  <c r="D48" i="12"/>
  <c r="H47" i="12"/>
  <c r="D47" i="12"/>
  <c r="H46" i="12"/>
  <c r="D46" i="12"/>
  <c r="H45" i="12"/>
  <c r="D45" i="12"/>
  <c r="H44" i="12"/>
  <c r="D44" i="12"/>
  <c r="H43" i="12"/>
  <c r="D43" i="12"/>
  <c r="H42" i="12"/>
  <c r="D42" i="12"/>
  <c r="H41" i="12"/>
  <c r="D41" i="12"/>
  <c r="H38" i="12"/>
  <c r="D38" i="12"/>
  <c r="H37" i="12"/>
  <c r="D37" i="12"/>
  <c r="H36" i="12"/>
  <c r="D36" i="12"/>
  <c r="H35" i="12"/>
  <c r="D35" i="12"/>
  <c r="H34" i="12"/>
  <c r="D34" i="12"/>
  <c r="H33" i="12"/>
  <c r="D33" i="12"/>
  <c r="H32" i="12"/>
  <c r="D32" i="12"/>
  <c r="H31" i="12"/>
  <c r="D31" i="12"/>
  <c r="H30" i="12"/>
  <c r="D30" i="12"/>
  <c r="H29" i="12"/>
  <c r="D29" i="12"/>
  <c r="H24" i="12"/>
  <c r="D24" i="12"/>
  <c r="H23" i="12"/>
  <c r="D23" i="12"/>
  <c r="H22" i="12"/>
  <c r="D22" i="12"/>
  <c r="H21" i="12"/>
  <c r="D21" i="12"/>
  <c r="H20" i="12"/>
  <c r="D20" i="12"/>
  <c r="H17" i="12"/>
  <c r="D17" i="12"/>
  <c r="D13" i="12"/>
  <c r="H12" i="12"/>
  <c r="D12" i="12"/>
  <c r="H11" i="12"/>
  <c r="D11" i="12"/>
  <c r="H10" i="12"/>
  <c r="D10" i="12"/>
  <c r="H9" i="12"/>
  <c r="D9" i="12"/>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H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I66" i="2"/>
  <c r="I67" i="2"/>
  <c r="I68" i="2"/>
  <c r="I69" i="2"/>
  <c r="I70" i="2"/>
  <c r="I71" i="2"/>
  <c r="I72" i="2"/>
  <c r="I73" i="2"/>
  <c r="I74" i="2"/>
  <c r="I65" i="2"/>
  <c r="E66" i="2"/>
  <c r="E67" i="2"/>
  <c r="E68" i="2"/>
  <c r="E69" i="2"/>
  <c r="E70" i="2"/>
  <c r="E71" i="2"/>
  <c r="E72" i="2"/>
  <c r="E73" i="2"/>
  <c r="E74" i="2"/>
  <c r="E65" i="2"/>
  <c r="B53" i="10"/>
  <c r="B52" i="10"/>
  <c r="B51" i="10"/>
  <c r="B50" i="10"/>
  <c r="B49" i="10"/>
  <c r="B48" i="10"/>
  <c r="B47" i="10"/>
  <c r="B46" i="10"/>
  <c r="B41" i="10"/>
  <c r="B40" i="10"/>
  <c r="B39" i="10"/>
  <c r="B38" i="10"/>
  <c r="B35" i="10"/>
  <c r="B34" i="10"/>
  <c r="B33" i="10"/>
  <c r="B32" i="10"/>
  <c r="B26" i="10"/>
  <c r="B25" i="10"/>
  <c r="B24" i="10"/>
  <c r="B23" i="10"/>
  <c r="B22" i="10"/>
  <c r="B21" i="10"/>
  <c r="B20" i="10"/>
  <c r="B15" i="10"/>
  <c r="B14" i="10"/>
  <c r="B13" i="10"/>
  <c r="B12" i="10"/>
  <c r="B11" i="10"/>
  <c r="B8" i="10"/>
  <c r="B7" i="10"/>
  <c r="B6" i="10"/>
  <c r="B5" i="10"/>
  <c r="B4" i="10"/>
  <c r="N155" i="5"/>
  <c r="N83" i="5"/>
  <c r="N26" i="5"/>
  <c r="N49" i="5"/>
  <c r="N40" i="5"/>
  <c r="N21" i="5"/>
  <c r="N32" i="5"/>
  <c r="N50" i="5"/>
  <c r="N46" i="5"/>
  <c r="N28" i="5"/>
  <c r="N126" i="5"/>
  <c r="N60" i="5"/>
  <c r="N152" i="5"/>
  <c r="N156" i="5"/>
  <c r="N120" i="5"/>
  <c r="N25" i="5"/>
  <c r="N41" i="5"/>
  <c r="N105" i="5"/>
  <c r="N36" i="5"/>
  <c r="N86" i="5"/>
  <c r="N66" i="5"/>
  <c r="N34" i="5"/>
  <c r="N78" i="5"/>
  <c r="N159" i="5"/>
  <c r="N96" i="5"/>
  <c r="N101" i="5"/>
  <c r="N123" i="5"/>
  <c r="N31" i="5"/>
  <c r="N130" i="5"/>
  <c r="N71" i="5"/>
  <c r="N75" i="5"/>
  <c r="N63" i="5"/>
  <c r="N165" i="5"/>
  <c r="N161" i="5"/>
  <c r="N162" i="5"/>
  <c r="N43" i="5"/>
  <c r="N112" i="5"/>
  <c r="N137" i="5"/>
  <c r="N102" i="5"/>
  <c r="N141" i="5"/>
  <c r="N93" i="5"/>
  <c r="N133" i="5"/>
  <c r="N153" i="5"/>
  <c r="N135" i="5"/>
  <c r="N164" i="5"/>
  <c r="N80" i="5"/>
  <c r="N117" i="5"/>
  <c r="N158" i="5"/>
  <c r="N140" i="5"/>
  <c r="N55" i="5"/>
  <c r="N39" i="5"/>
  <c r="N56" i="5"/>
  <c r="N88" i="5"/>
  <c r="N127" i="5"/>
  <c r="N95" i="5"/>
  <c r="N68" i="5"/>
  <c r="N108" i="5"/>
  <c r="N35" i="5"/>
  <c r="N90" i="5"/>
  <c r="N110" i="5"/>
  <c r="N97" i="5"/>
  <c r="N29" i="5"/>
  <c r="N149" i="5"/>
  <c r="N100" i="5"/>
  <c r="N33" i="5"/>
  <c r="N150" i="5"/>
  <c r="N122" i="5"/>
  <c r="N166" i="5"/>
  <c r="N38" i="5"/>
  <c r="N89" i="5"/>
  <c r="N79" i="5"/>
  <c r="N121" i="5"/>
  <c r="N57" i="5"/>
  <c r="N87" i="5"/>
  <c r="N148" i="5"/>
  <c r="N59" i="5"/>
  <c r="N17" i="5"/>
  <c r="N144" i="5"/>
  <c r="N72" i="5"/>
  <c r="N146" i="5"/>
  <c r="N157" i="5"/>
  <c r="N20" i="5"/>
  <c r="N151" i="5"/>
  <c r="N73" i="5"/>
  <c r="K74" i="5"/>
  <c r="K75" i="5"/>
  <c r="K76" i="5"/>
  <c r="K77" i="5"/>
  <c r="K78" i="5"/>
  <c r="K73" i="5"/>
  <c r="K66" i="5"/>
  <c r="K67" i="5"/>
  <c r="K68" i="5"/>
  <c r="K69" i="5"/>
  <c r="K70" i="5"/>
  <c r="K71" i="5"/>
  <c r="K72" i="5"/>
  <c r="K65" i="5"/>
  <c r="K60" i="5"/>
  <c r="K61" i="5"/>
  <c r="K62" i="5"/>
  <c r="K63" i="5"/>
  <c r="K64" i="5"/>
  <c r="K59" i="5"/>
  <c r="K53" i="5"/>
  <c r="K54" i="5"/>
  <c r="K55" i="5"/>
  <c r="K56" i="5"/>
  <c r="K57" i="5"/>
  <c r="K58" i="5"/>
  <c r="K47" i="5"/>
  <c r="K48" i="5"/>
  <c r="K49" i="5"/>
  <c r="K50" i="5"/>
  <c r="K51" i="5"/>
  <c r="K52" i="5"/>
  <c r="K46" i="5"/>
  <c r="C160" i="4"/>
  <c r="E38" i="2"/>
  <c r="I156" i="2"/>
  <c r="E24" i="2"/>
  <c r="I32" i="2"/>
  <c r="E41" i="2"/>
  <c r="I78" i="2"/>
  <c r="E170" i="2"/>
  <c r="E30" i="2"/>
  <c r="I166" i="2"/>
  <c r="E54" i="2"/>
  <c r="E53" i="2"/>
  <c r="E123" i="2"/>
  <c r="E182" i="2"/>
  <c r="I214" i="2"/>
  <c r="I45" i="2"/>
  <c r="I94" i="2"/>
  <c r="I115" i="2"/>
  <c r="E198" i="2"/>
  <c r="E154" i="2"/>
  <c r="E10" i="2"/>
  <c r="E43" i="2"/>
  <c r="I102" i="2"/>
  <c r="I139" i="2"/>
  <c r="I12" i="2"/>
  <c r="E22" i="2"/>
  <c r="I20" i="2"/>
  <c r="I30" i="2"/>
  <c r="I38" i="2"/>
  <c r="E36" i="2"/>
  <c r="I43" i="2"/>
  <c r="I41" i="2"/>
  <c r="E49" i="2"/>
  <c r="I58" i="2"/>
  <c r="E109" i="2"/>
  <c r="I100" i="2"/>
  <c r="I85" i="2"/>
  <c r="I62" i="2"/>
  <c r="E61" i="2"/>
  <c r="E124" i="2"/>
  <c r="I117" i="2"/>
  <c r="I130" i="2"/>
  <c r="I173" i="2"/>
  <c r="I164" i="2"/>
  <c r="E162" i="2"/>
  <c r="E157" i="2"/>
  <c r="E180" i="2"/>
  <c r="E200" i="2"/>
  <c r="E190" i="2"/>
  <c r="I218" i="2"/>
  <c r="I227" i="2"/>
  <c r="E235" i="2"/>
  <c r="I9" i="2"/>
  <c r="E23" i="2"/>
  <c r="I31" i="2"/>
  <c r="I29" i="2"/>
  <c r="E37" i="2"/>
  <c r="I44" i="2"/>
  <c r="E42" i="2"/>
  <c r="E50" i="2"/>
  <c r="E59" i="2"/>
  <c r="I93" i="2"/>
  <c r="I101" i="2"/>
  <c r="I79" i="2"/>
  <c r="I53" i="2"/>
  <c r="E62" i="2"/>
  <c r="E125" i="2"/>
  <c r="I118" i="2"/>
  <c r="I140" i="2"/>
  <c r="I169" i="2"/>
  <c r="I165" i="2"/>
  <c r="I155" i="2"/>
  <c r="E158" i="2"/>
  <c r="E181" i="2"/>
  <c r="E201" i="2"/>
  <c r="I215" i="2"/>
  <c r="I226" i="2"/>
  <c r="E257" i="2"/>
  <c r="E269" i="2"/>
  <c r="I17" i="2"/>
  <c r="E258" i="2"/>
  <c r="I33" i="2"/>
  <c r="I46" i="2"/>
  <c r="I110" i="2"/>
  <c r="E55" i="2"/>
  <c r="I138" i="2"/>
  <c r="I162" i="2"/>
  <c r="I193" i="2"/>
  <c r="E256" i="2"/>
  <c r="I21" i="2"/>
  <c r="E45" i="2"/>
  <c r="I111" i="2"/>
  <c r="E56" i="2"/>
  <c r="I134" i="2"/>
  <c r="E163" i="2"/>
  <c r="I190" i="2"/>
  <c r="E251" i="2"/>
  <c r="E17" i="2"/>
  <c r="I48" i="2"/>
  <c r="I86" i="2"/>
  <c r="E57" i="2"/>
  <c r="I133" i="2"/>
  <c r="E164" i="2"/>
  <c r="I144" i="2"/>
  <c r="E206" i="2"/>
  <c r="E191" i="2"/>
  <c r="I211" i="2"/>
  <c r="E244" i="2"/>
  <c r="E252" i="2"/>
  <c r="E265" i="2"/>
  <c r="E11" i="2"/>
  <c r="E31" i="2"/>
  <c r="E44" i="2"/>
  <c r="I95" i="2"/>
  <c r="E116" i="2"/>
  <c r="E171" i="2"/>
  <c r="I145" i="2"/>
  <c r="I224" i="2"/>
  <c r="E267" i="2"/>
  <c r="E12" i="2"/>
  <c r="E32" i="2"/>
  <c r="E80" i="2"/>
  <c r="I96" i="2"/>
  <c r="E172" i="2"/>
  <c r="I146" i="2"/>
  <c r="I212" i="2"/>
  <c r="E266" i="2"/>
  <c r="E13" i="2"/>
  <c r="I35" i="2"/>
  <c r="E81" i="2"/>
  <c r="I97" i="2"/>
  <c r="I124" i="2"/>
  <c r="E173" i="2"/>
  <c r="I10" i="2"/>
  <c r="I23" i="2"/>
  <c r="I49" i="2"/>
  <c r="E78" i="2"/>
  <c r="I98" i="2"/>
  <c r="I60" i="2"/>
  <c r="I125" i="2"/>
  <c r="I132" i="2"/>
  <c r="E155" i="2"/>
  <c r="E236" i="2"/>
  <c r="E264" i="2"/>
  <c r="I225" i="2"/>
  <c r="E268" i="2"/>
  <c r="E20" i="2"/>
  <c r="E29" i="2"/>
  <c r="I80" i="2"/>
  <c r="I103" i="2"/>
  <c r="I55" i="2"/>
  <c r="I135" i="2"/>
  <c r="I157" i="2"/>
  <c r="E183" i="2"/>
  <c r="I213" i="2"/>
  <c r="I34" i="2"/>
  <c r="I47" i="2"/>
  <c r="I92" i="2"/>
  <c r="I56" i="2"/>
  <c r="E117" i="2"/>
  <c r="I137" i="2"/>
  <c r="I158" i="2"/>
  <c r="E178" i="2"/>
  <c r="I223" i="2"/>
  <c r="I22" i="2"/>
  <c r="E33" i="2"/>
  <c r="E46" i="2"/>
  <c r="I109" i="2"/>
  <c r="I59" i="2"/>
  <c r="E118" i="2"/>
  <c r="I170" i="2"/>
  <c r="I154" i="2"/>
  <c r="E9" i="2"/>
  <c r="I36" i="2"/>
  <c r="E34" i="2"/>
  <c r="E47" i="2"/>
  <c r="I54" i="2"/>
  <c r="E110" i="2"/>
  <c r="I87" i="2"/>
  <c r="E58" i="2"/>
  <c r="E115" i="2"/>
  <c r="I171" i="2"/>
  <c r="E169" i="2"/>
  <c r="E165" i="2"/>
  <c r="E205" i="2"/>
  <c r="E192" i="2"/>
  <c r="I231" i="2"/>
  <c r="E250" i="2"/>
  <c r="I11" i="2"/>
  <c r="E21" i="2"/>
  <c r="I24" i="2"/>
  <c r="I37" i="2"/>
  <c r="E35" i="2"/>
  <c r="I42" i="2"/>
  <c r="I50" i="2"/>
  <c r="E48" i="2"/>
  <c r="I57" i="2"/>
  <c r="E79" i="2"/>
  <c r="E111" i="2"/>
  <c r="I99" i="2"/>
  <c r="I88" i="2"/>
  <c r="I61" i="2"/>
  <c r="E60" i="2"/>
  <c r="I123" i="2"/>
  <c r="I116" i="2"/>
  <c r="I131" i="2"/>
  <c r="I172" i="2"/>
  <c r="I163" i="2"/>
  <c r="E166" i="2"/>
  <c r="E156" i="2"/>
  <c r="E179" i="2"/>
  <c r="E199" i="2"/>
  <c r="E193" i="2"/>
  <c r="I219" i="2"/>
  <c r="I228" i="2"/>
  <c r="E237" i="2"/>
  <c r="I192" i="2"/>
  <c r="I216" i="2"/>
  <c r="I229" i="2"/>
  <c r="E246" i="2"/>
  <c r="E260" i="2"/>
  <c r="E270" i="2"/>
  <c r="I147" i="2"/>
  <c r="E184" i="2"/>
  <c r="I191" i="2"/>
  <c r="I217" i="2"/>
  <c r="I230" i="2"/>
  <c r="E245" i="2"/>
  <c r="E259" i="2"/>
  <c r="I104" i="2"/>
  <c r="E271" i="2"/>
</calcChain>
</file>

<file path=xl/sharedStrings.xml><?xml version="1.0" encoding="utf-8"?>
<sst xmlns="http://schemas.openxmlformats.org/spreadsheetml/2006/main" count="6184" uniqueCount="1883">
  <si>
    <t>Auswertung der Firmenbefragungen</t>
  </si>
  <si>
    <t>1. Allgemeine Angaben zum Unternehmen, bozogen auf Ihren Standort (wenn, wie bei ihrer Kammer gemeldet)?</t>
  </si>
  <si>
    <t>Name des Unternehmens:</t>
  </si>
  <si>
    <t>Rechtsform:</t>
  </si>
  <si>
    <t>Anschrift:</t>
  </si>
  <si>
    <t>Straße:</t>
  </si>
  <si>
    <t>Ort:</t>
  </si>
  <si>
    <t>PLZ:</t>
  </si>
  <si>
    <t>Land:</t>
  </si>
  <si>
    <t>Telefon:</t>
  </si>
  <si>
    <t>Telefax:</t>
  </si>
  <si>
    <t>E-Mail:</t>
  </si>
  <si>
    <t>Homepage:</t>
  </si>
  <si>
    <t>Geschäftsführung / Vorstand:</t>
  </si>
  <si>
    <t>Ansprechpartner:</t>
  </si>
  <si>
    <t>Name:</t>
  </si>
  <si>
    <t>Branche:</t>
  </si>
  <si>
    <t>Optional</t>
  </si>
  <si>
    <t>Wirtschaftszweig:</t>
  </si>
  <si>
    <t>Hauptwirtschaftszweig</t>
  </si>
  <si>
    <t>Nebenwirtschaftszweig 1</t>
  </si>
  <si>
    <t>Nebenwirtschaftszweig 2</t>
  </si>
  <si>
    <t>Nebenwirtschaftszweig 3</t>
  </si>
  <si>
    <t>2. Kurze Selbstdarstellung / besondere Leistungsmerkmale?</t>
  </si>
  <si>
    <t>3. Eigentumsverhältnisse:</t>
  </si>
  <si>
    <t>4. Standort:</t>
  </si>
  <si>
    <t>Name des Unternehmens / Konzerns:</t>
  </si>
  <si>
    <t>5. Was ist ihre Kernkompetenz?</t>
  </si>
  <si>
    <t>6. Wie viel Gesamtumsatz wurde an diesem Standort in Ihrem Unternehmen in Euro im letzten Wirtschaftsjahr etwa erwirtschaftet?</t>
  </si>
  <si>
    <t>7. Wie viele Mitarbeiter waren in Ihrem Unternehmen, an diesem Standort, am Ende des letzten Jahres beschäftigt:</t>
  </si>
  <si>
    <t>Genaue Mitarbeiterzahl (Optional)</t>
  </si>
  <si>
    <t>8. Wie viele dieser Arbeitsplätze sind der Logistik zugeordnet:</t>
  </si>
  <si>
    <t>9. Würden oder haben Sie für Teile / Gesamtheit ihrer Logistik  einen Dienstleister beauftragen:</t>
  </si>
  <si>
    <t>Ja</t>
  </si>
  <si>
    <t xml:space="preserve">Wenn es wirtschaftlich ist </t>
  </si>
  <si>
    <t>Fokussierung aufs Kerngeschäft</t>
  </si>
  <si>
    <t>Risikominimierung</t>
  </si>
  <si>
    <t>Teilnahme am Know How des Dienstleist</t>
  </si>
  <si>
    <t>Falls sie bereits einen Dienstleister beauftragt haben: Name des Dienstleisters</t>
  </si>
  <si>
    <t>Nein</t>
  </si>
  <si>
    <t>Prinzipielle, strategische Entscheidung</t>
  </si>
  <si>
    <t>Betriebsverienbarung</t>
  </si>
  <si>
    <t>Sonstigen Gründe</t>
  </si>
  <si>
    <t>10. Planen Sie zukünftig logistische Dienstleistungen an Dritte anzubieten bzw. erbringen Sie bereits solche:</t>
  </si>
  <si>
    <t>11. Welche Art einer Zusammenarbgeit mit anderen Unternehmen auf der Logistikebene betreiben Sie oder planen Sie:</t>
  </si>
  <si>
    <t>Transport:</t>
  </si>
  <si>
    <t>Outsourcing kompletter Unternehmensbereiche:</t>
  </si>
  <si>
    <t>Kontaktlogistik / Fulfillment / Value Added Services:</t>
  </si>
  <si>
    <t>Behältermanagement:</t>
  </si>
  <si>
    <t>IT:</t>
  </si>
  <si>
    <t>Call Center:</t>
  </si>
  <si>
    <t>12. Welche der folgenden Informations- und kommunikationssysteme werden in Ihrem Unternehmen verwendet bzw. stehen ihnen zur verfügung:</t>
  </si>
  <si>
    <t>Übertragungsgeschwindigkeit</t>
  </si>
  <si>
    <t>Anwendung</t>
  </si>
  <si>
    <t>Ist die Geschwindigkeit ausreichend</t>
  </si>
  <si>
    <t>13. Welche Transprote fallen bei Ihnen an:</t>
  </si>
  <si>
    <t>LKW:</t>
  </si>
  <si>
    <t>Bahn (auch Private Anbieter):</t>
  </si>
  <si>
    <t>Einschaltung Paket- / Expressdienst z. B. DHL, Hermes, UPS, DPD:</t>
  </si>
  <si>
    <t>14. Können Sie die Art der Transporte z.B. Bahn oder LKW direkt beeinflussen:</t>
  </si>
  <si>
    <t>15. Könnten Sie sich vorstellen, zukünftig häufiger die Bahn (auch Privatbahenen) für Ihren Warentransport einzusetzetn:</t>
  </si>
  <si>
    <t>Ja, unter folgenden Bedingungen:</t>
  </si>
  <si>
    <t>Naher Frachtbahnhof (Entferung &lt; 50 km)</t>
  </si>
  <si>
    <t>Wenn ein Gleisanschluss auf unserem Gelände bedient wird</t>
  </si>
  <si>
    <t>Günstige Frachtraten</t>
  </si>
  <si>
    <t>Hohe Bedienfrequenz</t>
  </si>
  <si>
    <t>Mehrmals täglich</t>
  </si>
  <si>
    <t>Täglich</t>
  </si>
  <si>
    <t>Wöchentlich</t>
  </si>
  <si>
    <t>Warum nicht?</t>
  </si>
  <si>
    <t>16. Wäre eins der aufgeführten logistischen zentren in der Region für Ihren Standort interessant:</t>
  </si>
  <si>
    <t>Gemeinsam nutzbare Infrastruktur z. B.:</t>
  </si>
  <si>
    <t>Lagerhalle mit Einrichtung</t>
  </si>
  <si>
    <t>Fördertechnik</t>
  </si>
  <si>
    <t>Kommissionierung</t>
  </si>
  <si>
    <t>Produktionsversorgung</t>
  </si>
  <si>
    <t xml:space="preserve">Cross Docking Center </t>
  </si>
  <si>
    <t>HUB - zentraler logistischer Knoten für den Warenumschlag</t>
  </si>
  <si>
    <t>GVZ - Logistischer Knoten mit Anbindung verschiedener Verkehrsträger</t>
  </si>
  <si>
    <t>Sonstiges</t>
  </si>
  <si>
    <t>17. Haben Sie vor, in den nächsten jahren im Bereich Logistik am Standort oder in der Region zu expandieren:</t>
  </si>
  <si>
    <t>Bei "Vielleicht" und "Ja":</t>
  </si>
  <si>
    <t>In Welchem zeithorizont ist dies geplant?</t>
  </si>
  <si>
    <t>In welcher Größenordnung (in €) wird dies sein?</t>
  </si>
  <si>
    <t>Auf welchem Gebiet Ihrer Logistik</t>
  </si>
  <si>
    <t>Werden Sie im Rahmen der Expansion neue Mitareiter einstellen?</t>
  </si>
  <si>
    <t>Wird dabei ein Dienstleister involviert?</t>
  </si>
  <si>
    <t>18. Was ist Ihrer Ansicht nach ein wichtiges Kriterium für die Beibehaltung bzw. Ansiedlung eines unternehmens mit relevanter Logistik in der Region:</t>
  </si>
  <si>
    <t>Geographische Lage</t>
  </si>
  <si>
    <t>Verkehrsnetz</t>
  </si>
  <si>
    <t xml:space="preserve">Autobahn/Bundesstraße </t>
  </si>
  <si>
    <t>Bahn</t>
  </si>
  <si>
    <t>Arbeitskräfte</t>
  </si>
  <si>
    <t xml:space="preserve"> Motiviert &amp; standortfrei</t>
  </si>
  <si>
    <t xml:space="preserve"> Verfügbar</t>
  </si>
  <si>
    <t xml:space="preserve"> Gehaltsstruktur</t>
  </si>
  <si>
    <t>19. Welches sind aus Ihrer Sich die größten Bedrohungen / Schwierigkeiten ihrer Logistik in der Region in den nächsten 3 Jahren, die deren</t>
  </si>
  <si>
    <t>Für den internen Gebrauch</t>
  </si>
  <si>
    <t>Bearbeier/in:</t>
  </si>
  <si>
    <t>Grunddaten eingetragen am:</t>
  </si>
  <si>
    <t>Korrigiert am:</t>
  </si>
  <si>
    <t>Geführtes Interview am:</t>
  </si>
  <si>
    <t>Bearbeitung vollständig abgeschlossen am:</t>
  </si>
  <si>
    <t>Rechtsform</t>
  </si>
  <si>
    <t>keine</t>
  </si>
  <si>
    <t>e. K.</t>
  </si>
  <si>
    <t>GbR</t>
  </si>
  <si>
    <t>OHG</t>
  </si>
  <si>
    <t>KG</t>
  </si>
  <si>
    <t>GmbH</t>
  </si>
  <si>
    <t>GmbH &amp; Co.KG</t>
  </si>
  <si>
    <t>AG</t>
  </si>
  <si>
    <t>sonstige</t>
  </si>
  <si>
    <t>Land</t>
  </si>
  <si>
    <t>Deutschland</t>
  </si>
  <si>
    <t>Tschechien</t>
  </si>
  <si>
    <t>Branche</t>
  </si>
  <si>
    <t xml:space="preserve">Automotive </t>
  </si>
  <si>
    <t>Industrie, Produktion</t>
  </si>
  <si>
    <t>Dienstleistung</t>
  </si>
  <si>
    <t>Verkehr und Logistik</t>
  </si>
  <si>
    <t>Großhandel</t>
  </si>
  <si>
    <t xml:space="preserve">Einzelhandel </t>
  </si>
  <si>
    <t>Versandhandel</t>
  </si>
  <si>
    <t>Software für Logistik</t>
  </si>
  <si>
    <t>Call Center</t>
  </si>
  <si>
    <t>Forschung</t>
  </si>
  <si>
    <t>WZ</t>
  </si>
  <si>
    <t>WZ 25</t>
  </si>
  <si>
    <t>WZ 26</t>
  </si>
  <si>
    <t>WZ 27</t>
  </si>
  <si>
    <t>WZ 45320</t>
  </si>
  <si>
    <t>WZ 46</t>
  </si>
  <si>
    <t>WZ 47</t>
  </si>
  <si>
    <t>WZ 4791</t>
  </si>
  <si>
    <t>WZ 50</t>
  </si>
  <si>
    <t>WZ 51</t>
  </si>
  <si>
    <t>WZ 52</t>
  </si>
  <si>
    <t>WZ 62</t>
  </si>
  <si>
    <t>WZ 63</t>
  </si>
  <si>
    <t>WZ 70</t>
  </si>
  <si>
    <t>WZ 711</t>
  </si>
  <si>
    <t>WZ 72</t>
  </si>
  <si>
    <t>WZ 74</t>
  </si>
  <si>
    <t>WZ 78</t>
  </si>
  <si>
    <t>WZ 82</t>
  </si>
  <si>
    <t>WZ 822</t>
  </si>
  <si>
    <t>Eigentumsverhältnisse</t>
  </si>
  <si>
    <t>Familienbesitz</t>
  </si>
  <si>
    <t>Selbständig</t>
  </si>
  <si>
    <t>Tochterunternehmen</t>
  </si>
  <si>
    <t>Beteiligung</t>
  </si>
  <si>
    <t>Kooperation</t>
  </si>
  <si>
    <t>staatlich</t>
  </si>
  <si>
    <t>Sonstige</t>
  </si>
  <si>
    <t>Standort</t>
  </si>
  <si>
    <t>Unternehmen ohne Zweigniederlassung</t>
  </si>
  <si>
    <t>Hauptsitz eines Unternehmens mit Zweigniederlassung/ Betriebsstätten</t>
  </si>
  <si>
    <t>selbständiger Standort eines Unternehmens</t>
  </si>
  <si>
    <t>Zweigniederlassung eines Unternehmens</t>
  </si>
  <si>
    <t>Kernkompetenz</t>
  </si>
  <si>
    <t>Produktion</t>
  </si>
  <si>
    <t>Handel</t>
  </si>
  <si>
    <t>Transport</t>
  </si>
  <si>
    <t>DV/ Softwareerstellung/ Softwareanpassung</t>
  </si>
  <si>
    <t xml:space="preserve">Dienstleistung </t>
  </si>
  <si>
    <t>Dienstleistung Outsourcing</t>
  </si>
  <si>
    <t>Dienstleistung Kontraktlogistik</t>
  </si>
  <si>
    <t>Dienstleistung Fulfillment</t>
  </si>
  <si>
    <t>Dienstleistung Value-added Services</t>
  </si>
  <si>
    <t>Dienstleistung Personal/Arbeitskräftevermittlung</t>
  </si>
  <si>
    <t>Immobilienmanagement</t>
  </si>
  <si>
    <t>Gesamtumsatz</t>
  </si>
  <si>
    <t>bis 200.000 €</t>
  </si>
  <si>
    <t>200.000 € - 500.000 €</t>
  </si>
  <si>
    <t>500.000 € - 1 Mio €</t>
  </si>
  <si>
    <t>1 Mio € - 5 Mio €</t>
  </si>
  <si>
    <t>5 Mio € - 100 Mio €</t>
  </si>
  <si>
    <t>über 100 Mio €</t>
  </si>
  <si>
    <t>4 - 9</t>
  </si>
  <si>
    <t>10 - 19</t>
  </si>
  <si>
    <t>20 - 49</t>
  </si>
  <si>
    <t>50 - 99</t>
  </si>
  <si>
    <t>100 - 199</t>
  </si>
  <si>
    <t>200 - 499</t>
  </si>
  <si>
    <t>500 - 999</t>
  </si>
  <si>
    <t>ab 1000</t>
  </si>
  <si>
    <t>bis 10%</t>
  </si>
  <si>
    <t>10% - 20%</t>
  </si>
  <si>
    <t>20% - 30%</t>
  </si>
  <si>
    <t>30% - 50%</t>
  </si>
  <si>
    <t>50% - 75%</t>
  </si>
  <si>
    <t>75% - 100%</t>
  </si>
  <si>
    <t>Ja wir erbringen logistische Dienstleistung</t>
  </si>
  <si>
    <t>Nein hat sich bisher noch nicht gelohnt</t>
  </si>
  <si>
    <t>Nein kein Interesse</t>
  </si>
  <si>
    <t>in Betrieb</t>
  </si>
  <si>
    <t>geplant</t>
  </si>
  <si>
    <t>angedacht</t>
  </si>
  <si>
    <t>kein Bedarf als Anbieter</t>
  </si>
  <si>
    <t>kein Bedarf als Abnehmer</t>
  </si>
  <si>
    <t>ISDN</t>
  </si>
  <si>
    <t>DSL</t>
  </si>
  <si>
    <t>VDSL</t>
  </si>
  <si>
    <t>LTE</t>
  </si>
  <si>
    <t>Glasfasernetze</t>
  </si>
  <si>
    <t>Intranet</t>
  </si>
  <si>
    <t>EDI</t>
  </si>
  <si>
    <t>wenige</t>
  </si>
  <si>
    <t>viele</t>
  </si>
  <si>
    <t>alle</t>
  </si>
  <si>
    <t>Vielleicht</t>
  </si>
  <si>
    <t>1-3 Jahren</t>
  </si>
  <si>
    <t>3-5 Jahren</t>
  </si>
  <si>
    <t>&gt;5 Jahren</t>
  </si>
  <si>
    <t xml:space="preserve">wenige </t>
  </si>
  <si>
    <t xml:space="preserve">Ja </t>
  </si>
  <si>
    <t>Ja im Raum Weiden</t>
  </si>
  <si>
    <t>Ja im Tschechien</t>
  </si>
  <si>
    <t>Ja in anderen Gegenden</t>
  </si>
  <si>
    <t>Kriterium</t>
  </si>
  <si>
    <t>Wie viele dieser Arbeitsplätze sind der Logistik zugeordnet:</t>
  </si>
  <si>
    <t>Würden oder haben Sie für Teile / Gesamtheit ihrer Logistik  einen Dienstleister beauftragen:</t>
  </si>
  <si>
    <t>Welche Art einer Zusammenarbgeit mit anderen Unternehmen auf der Logistikebene betreiben Sie oder planen Sie:</t>
  </si>
  <si>
    <t>Welche Transprote fallen  an:</t>
  </si>
  <si>
    <t>Kann die Art des Transporte z.B. Bahn oder LKW direkt beeinflussd werden:</t>
  </si>
  <si>
    <t>Könnten Sie sich vorstellen, zukünftig häufiger die Bahn (auch Privatbahenen) für Ihren Warentransport einzusetzetn:</t>
  </si>
  <si>
    <t xml:space="preserve"> Welche der folgenden Informations- und kommunikationssysteme werden in Ihrem Unternehmen verwendet bzw. stehen ihnen zur verfügung:</t>
  </si>
  <si>
    <t>Wäre eins der aufgeführten logistischen zentren in der Region für Ihren Standort interessant:</t>
  </si>
  <si>
    <t>Was ist Ihrer Ansicht nach ein wichtiges Kriterium für die Beibehaltung bzw. Ansiedlung eines unternehmens mit relevanter Logistik in der Region:</t>
  </si>
  <si>
    <t>Autobahn/Bundesstr.</t>
  </si>
  <si>
    <t>Roggenhofer</t>
  </si>
  <si>
    <t>30.05.</t>
  </si>
  <si>
    <t>25.05.</t>
  </si>
  <si>
    <t>Jörg Roggenhofer</t>
  </si>
  <si>
    <t>keine direkte Anbindung</t>
  </si>
  <si>
    <t>Standleitung</t>
  </si>
  <si>
    <t>1,5 Mbit</t>
  </si>
  <si>
    <t>Oberflächenveredlung in Designqualität</t>
  </si>
  <si>
    <t>www.welco-bruck.de</t>
  </si>
  <si>
    <t>info@welco-bruck.de</t>
  </si>
  <si>
    <t>09434 / 203 99-950</t>
  </si>
  <si>
    <t>09434 / 203 99-0</t>
  </si>
  <si>
    <t>Bruck i. d. Opf.</t>
  </si>
  <si>
    <t>Sollbacher Straße 44</t>
  </si>
  <si>
    <t>Welco</t>
  </si>
  <si>
    <t>Fiedler</t>
  </si>
  <si>
    <t>Julia Messer</t>
  </si>
  <si>
    <t>?</t>
  </si>
  <si>
    <t>ISDN-Anschluss</t>
  </si>
  <si>
    <t>Cherry -&gt; Computer und Computerzubehör</t>
  </si>
  <si>
    <t>09643 180</t>
  </si>
  <si>
    <t>Auerbach</t>
  </si>
  <si>
    <t>Cherrystr. 1</t>
  </si>
  <si>
    <t>ZF Elektronics</t>
  </si>
  <si>
    <t>kein Interview, selbst ausgefüllt</t>
  </si>
  <si>
    <t>Alexander Fiedler / Marco Lorenz</t>
  </si>
  <si>
    <t>386 kBit</t>
  </si>
  <si>
    <t>k.A.</t>
  </si>
  <si>
    <t>www.einhaeupl.de</t>
  </si>
  <si>
    <t>fvw@einhaeupl.de</t>
  </si>
  <si>
    <t>0961 / 67015 - 49</t>
  </si>
  <si>
    <t>0961 / 67015 - 0</t>
  </si>
  <si>
    <t>Weiden</t>
  </si>
  <si>
    <t>Philipp-Karl-Str. 15</t>
  </si>
  <si>
    <t>Einhäupl Feuerverzinkerei GmbH</t>
  </si>
  <si>
    <t>Lupu</t>
  </si>
  <si>
    <t>Melanie Ebner</t>
  </si>
  <si>
    <t>Der Handel mit Autoteilen und Autozubehör, der Import- und Export von Autoteilen und -zubehör sowie der Handel mit Waren aller Art, jeweils soweit diese Tätigkeit nicht genehmigungspflichtig ist.</t>
  </si>
  <si>
    <t>www.atp-autoteile.de</t>
  </si>
  <si>
    <t xml:space="preserve">info@atp-autoteile.de </t>
  </si>
  <si>
    <t>09647-92903133</t>
  </si>
  <si>
    <t>09647 – 92903 0</t>
  </si>
  <si>
    <t>Kirchenthumbach</t>
  </si>
  <si>
    <t>Auerbacher Straße 7</t>
  </si>
  <si>
    <t>Auto-Teile-Pöllath Handels GmbH</t>
  </si>
  <si>
    <t>Sambale</t>
  </si>
  <si>
    <t>Stefanie Spachtholz</t>
  </si>
  <si>
    <t>nein</t>
  </si>
  <si>
    <t>Internet Mail</t>
  </si>
  <si>
    <t>2.000 Mbit</t>
  </si>
  <si>
    <t>Seit mehr als 50 Jahren Spezialisten für die Entwicklung erfolgreicher Shop-Konzepte und innovativer Ladeneinrichtungen, umfangreiche Service-Leistungen, Top-Produkte sowie ein überzeugendes Preis-Leistung-Verhältnis.</t>
  </si>
  <si>
    <t>www.panzer-shopconcept.com</t>
  </si>
  <si>
    <t>info @panzer-shopconcept.de</t>
  </si>
  <si>
    <t>09681/188-299</t>
  </si>
  <si>
    <t>09682/188-0</t>
  </si>
  <si>
    <t>Erbendorf</t>
  </si>
  <si>
    <t>Plämmühlweg 2</t>
  </si>
  <si>
    <t>Panzer Shopconcept GmbH &amp; Co. KG</t>
  </si>
  <si>
    <t>Zalinschi /Oezsoy</t>
  </si>
  <si>
    <t>Lohnfertigung, Herstellung von Bullaugen und Verglasungsrahmen</t>
  </si>
  <si>
    <t>gesco-biegetechnik.de</t>
  </si>
  <si>
    <t>info@gesco-biegetechnik.de</t>
  </si>
  <si>
    <t>Schwandorf</t>
  </si>
  <si>
    <t>Bellstr 3a</t>
  </si>
  <si>
    <t>Gesco Metall GmbH</t>
  </si>
  <si>
    <t>-</t>
  </si>
  <si>
    <t>Lieferweg meist zu kurz, kein Gleisanschluss bei Lieferort</t>
  </si>
  <si>
    <t>fast 200</t>
  </si>
  <si>
    <t xml:space="preserve">Gestalteter Freiraum - im Einklang mit Mensch, Landschaft und Architektur - Hochwertige, zeitgemäße Produkte in bestmöglicher Qualität - nach diesem einfachen aber überzeugendem Konzept fertigt und entwickelt Godelmann Flächensysteme, Mauersysteme und Sonderbauteile aus Beton. Bis ins Detail durchdacht, perfekt gefertigt und mit einer dem Umfeld angemessenen Anmutung erfüllt das anspruchsvolle Steinangebot alle Anforderungen an öffentliche und private Freiräume. Die außergewöhnlich große Bandbreite an Formen, Farben und Oberflächen sind kennzeichnend für das Produktprogramm. 
Manufakturarbeiten und die Umsetzung individueller Designvorgaben gehören ebenso  zum Portfolio und ermöglichen ganzheitliche Gestaltungskonzepte aus der Materialiät Beton. Das familiengeführte Unternehmen zählt mit heute fast 200 Mitarbeitern zu den führenden Herstellern von Betonerzeugnissen für den Außenraum. Kreativität, Flexibilität, handwerkliche Sorgfalt, Zuverlässigkeit und der konstruktive Kontakt zu den Kunden bilden die Basis für maßgeschneiderte Produkte und überzeugenden Service. So gehört die individuelle Unterstützung von Projekten zum Leistungsangebot. Die Spezialisten bei Godelmann begleiten Architekten, Planer, Städte, Gemeinden und Bauherren von der Planung bis hin zur Auslieferung. </t>
  </si>
  <si>
    <t>www.godelmann.de</t>
  </si>
  <si>
    <t>info@godelmann.de</t>
  </si>
  <si>
    <t>09438/940470</t>
  </si>
  <si>
    <t>09438/94040</t>
  </si>
  <si>
    <t>Högling/ Fensterbach</t>
  </si>
  <si>
    <t>Industriestraße 3</t>
  </si>
  <si>
    <t>Betonwerk Godelmann KG</t>
  </si>
  <si>
    <t>Vesper</t>
  </si>
  <si>
    <t>Kosten-Zeit-Aufwand</t>
  </si>
  <si>
    <t>Transportunternehmen im internationalen Güterverkehr</t>
  </si>
  <si>
    <t>bock.transporte@t-online.de</t>
  </si>
  <si>
    <t>09654/91140</t>
  </si>
  <si>
    <t>09654/91160</t>
  </si>
  <si>
    <t>Pleystein</t>
  </si>
  <si>
    <t>Ziegeltrath 11</t>
  </si>
  <si>
    <t>Rudolf Bock Internationale Transporte</t>
  </si>
  <si>
    <t>Sven Kleinbauer</t>
  </si>
  <si>
    <t>Bahn nicht für Haustransport geeignet. Entladung direkt an Baustelle notwendig</t>
  </si>
  <si>
    <t>Mit Liebe bauen - das ist unsere Philosophie. Menschen bauen ihr Haus. Wollen die eigenen Wünsche vom gemeinsamen Leben verwirklichen. FischerHaus ist Ihr Partner mit Erfahrung, Wissen und Ideen. Wir schaffen individuelle Häuser von langer Lebensdauer und verbinden ökologisches Verständnis mit zukunftsweisenden Ideen. Wir garantieren Ihnen die Langlebigkeit und Hochwertigkeit Ihres Hauses. Deswegen arbeiten wir mit Partnern zusammen, die unseren Qualitätsgedanken leben. Mit Unternehmen wie Sto, Busch-Jaeger, Buderus, Braas oder Villeroy &amp; Boch können wir unsere hohen Standards verwirklichen.  </t>
  </si>
  <si>
    <t>WZ 41</t>
  </si>
  <si>
    <t>www.fischerhaus.de</t>
  </si>
  <si>
    <t>info@fischerhaus.de</t>
  </si>
  <si>
    <t>09434/950101</t>
  </si>
  <si>
    <t>09434/9500</t>
  </si>
  <si>
    <t>Bodenwöhr</t>
  </si>
  <si>
    <t>Rathausplatz 4 - 6</t>
  </si>
  <si>
    <t>FischerHaus GmbH &amp; Co. KG</t>
  </si>
  <si>
    <t>Melanie Ebner / Sandra Lingl</t>
  </si>
  <si>
    <t>schlechte Erfahrungen mit der Bahn!!! Sehr unzuverlässig!!!</t>
  </si>
  <si>
    <t>ca. 30</t>
  </si>
  <si>
    <t>Gegenstand des Unternehmens ist der Groß- und Einzelhandel mit Waren aller Art, insbesondere EDV-Software, Produkte als auch in Form digitaler Software, EDV-Hardware, EDV-Zubehör, Spielkonsolen, Konsolensoftware, Konsolenzubehör, das Verlegen und Vertreiben von Literatur sowie die Erbringung von logistischen Dienstleistungen.sowohl in Form physischer</t>
  </si>
  <si>
    <t>www.nbg-online.de</t>
  </si>
  <si>
    <t>info@nbg-online.de</t>
  </si>
  <si>
    <t>09471/7017180</t>
  </si>
  <si>
    <t>09471/70170</t>
  </si>
  <si>
    <t>Burglengenfeld</t>
  </si>
  <si>
    <t>Brunnfeld 2-6</t>
  </si>
  <si>
    <t>NBG EDV Handels- und Verlags GmbH</t>
  </si>
  <si>
    <t>Cornelia Mückl</t>
  </si>
  <si>
    <t>Flexibilität fehlt</t>
  </si>
  <si>
    <t>VPN (Virtual Private Network)</t>
  </si>
  <si>
    <t xml:space="preserve">Trendsetter der Branche (Dekoartikel); Innovative Produktideen und neue Produktionstechniken in Verbindung mit hochspezialisierten Know-How in der Produktveredelung </t>
  </si>
  <si>
    <t>www.eurosand.de</t>
  </si>
  <si>
    <t>info@eurosand.de</t>
  </si>
  <si>
    <t>0961/38 158-20</t>
  </si>
  <si>
    <t>0961/38 158-0</t>
  </si>
  <si>
    <t>Pressather Str. 95</t>
  </si>
  <si>
    <t>EUROSAND</t>
  </si>
  <si>
    <t>Kruppa</t>
  </si>
  <si>
    <t>Katharina Braunsteffer, Susanne Beck</t>
  </si>
  <si>
    <t>Eigene Produkte</t>
  </si>
  <si>
    <t>www.leistritz.com</t>
  </si>
  <si>
    <t>info@leistritz.de</t>
  </si>
  <si>
    <t>09654/8912</t>
  </si>
  <si>
    <t>09654/890</t>
  </si>
  <si>
    <t>Leistritzstr. 1</t>
  </si>
  <si>
    <t>Leistritz Productions-Technik GmbH</t>
  </si>
  <si>
    <t>Susanne Beck und Katharina braunsteffer</t>
  </si>
  <si>
    <t>Verarbeitung von Duroplast und Thermoplast</t>
  </si>
  <si>
    <t>www.bas-kv.de</t>
  </si>
  <si>
    <t>info@bas-kv.de</t>
  </si>
  <si>
    <t>Eslarn</t>
  </si>
  <si>
    <t>Brückenweg 8</t>
  </si>
  <si>
    <t>BaS Kunststoffverarbeitung</t>
  </si>
  <si>
    <t>E-Mail am  11.06.2011</t>
  </si>
  <si>
    <t>Hochregallager</t>
  </si>
  <si>
    <t xml:space="preserve">paßt nicht wirklich, Empfänger sind immer in ländlichen Gegenden </t>
  </si>
  <si>
    <t>führender europäischer Hersteller von landwirtschaftlichen Maschinen und Geräte</t>
  </si>
  <si>
    <t>horsch.com</t>
  </si>
  <si>
    <t>info@horsch.com</t>
  </si>
  <si>
    <t>Sitzenhof 1</t>
  </si>
  <si>
    <t>Horsch Maschinen GmbH</t>
  </si>
  <si>
    <t>24.05.</t>
  </si>
  <si>
    <t>16.05.</t>
  </si>
  <si>
    <t>Mirjam Sambale</t>
  </si>
  <si>
    <t>unzuverlässig, Verspätungen, unwirtschaftlich</t>
  </si>
  <si>
    <t>Isdn</t>
  </si>
  <si>
    <t>Rohstoff- und Frischebeschaffung; Tiefkühlwaren</t>
  </si>
  <si>
    <t>www.baeko-oberpfalz.de</t>
  </si>
  <si>
    <t>info@baeko-oberpfalz.de</t>
  </si>
  <si>
    <t>0961/37916</t>
  </si>
  <si>
    <t>0961/390220</t>
  </si>
  <si>
    <t>Johann-Sebastian-Bach-Str. 22</t>
  </si>
  <si>
    <t>Bäko Oberpfalz eG</t>
  </si>
  <si>
    <t>kein Interview</t>
  </si>
  <si>
    <t>Abfüll- und Verpackungstechnik – Marktführer Krones                                      Systeme für die Abfüll- und Verpackungsindustrie in der Nahrungsmittel- und Getränkeherstellung sind dann erfolgreich und leistungsstark, wenn sie alle Rahmenbedingungen und das gezielte Ineinandergreifen aller Einzelaggregate berücksichtigen: als Marktführer nehmen wir diese Aufgabe an und decken alle Systeme ab. Durch das komplette Angebot des Systemanbieters Krones stehen Ihnen alle Technologien rund um die Herstellung von Getränken sowie das Abfüllen und Verpacken zur Verfügung.</t>
  </si>
  <si>
    <t>www.krones.com</t>
  </si>
  <si>
    <t>09401-702488</t>
  </si>
  <si>
    <t>09401-700</t>
  </si>
  <si>
    <t>Neutraubling</t>
  </si>
  <si>
    <t>Böhmerwaldstr. 5</t>
  </si>
  <si>
    <t>Krones AG</t>
  </si>
  <si>
    <t>Andreas Menner</t>
  </si>
  <si>
    <t>Kein Gleisanschluss</t>
  </si>
  <si>
    <t>Produktion und Vertrieb von Wellpappverpackungen</t>
  </si>
  <si>
    <t>www.liebensteiner.de</t>
  </si>
  <si>
    <t>info@liebensteiner.de</t>
  </si>
  <si>
    <t>09631/5338</t>
  </si>
  <si>
    <t>09631/6050</t>
  </si>
  <si>
    <t>Plößberg</t>
  </si>
  <si>
    <t>Liebenstein 15</t>
  </si>
  <si>
    <t xml:space="preserve">Liebensteiner Kartonagenwerk </t>
  </si>
  <si>
    <t>18.05.</t>
  </si>
  <si>
    <t>12.05.</t>
  </si>
  <si>
    <t>10.05.</t>
  </si>
  <si>
    <t>zu umständlich und zu unflexibel, Transportzeiten zu lang</t>
  </si>
  <si>
    <t>Oberflächenveredelung als Lohnbeschichter mit hochwertigen Pulverlacken für den Metall-, Fassaden- und Innenausbau</t>
  </si>
  <si>
    <t>info@weinisch.de</t>
  </si>
  <si>
    <t>09671 / 9212 - 0</t>
  </si>
  <si>
    <t>www.weinisch.de</t>
  </si>
  <si>
    <t>09671 / 9212 - 70</t>
  </si>
  <si>
    <t>Oberviechtach</t>
  </si>
  <si>
    <t>Gewerbepark 9 - 15</t>
  </si>
  <si>
    <t>Weinisch</t>
  </si>
  <si>
    <t>Florian Staratschek</t>
  </si>
  <si>
    <t>Dreihunderttausend</t>
  </si>
  <si>
    <t>Zu teuer</t>
  </si>
  <si>
    <t>www.greiwing.de</t>
  </si>
  <si>
    <t>info@greiwing.de</t>
  </si>
  <si>
    <t>0961 6704523</t>
  </si>
  <si>
    <t>0961 670450</t>
  </si>
  <si>
    <t>Weiden in der Oberpfalz</t>
  </si>
  <si>
    <t>Franz-Ziebisch-Straße 13</t>
  </si>
  <si>
    <t>Greiwing logistics for you GmbH</t>
  </si>
  <si>
    <t>Maximilian Gall</t>
  </si>
  <si>
    <t>fehlende Flexibilität</t>
  </si>
  <si>
    <t>www.faurecia.com</t>
  </si>
  <si>
    <t>09644 60680</t>
  </si>
  <si>
    <t>09644 600</t>
  </si>
  <si>
    <t>Trabitz</t>
  </si>
  <si>
    <t>Paul Leistritz Platz 1</t>
  </si>
  <si>
    <t>Faurecia Agastechnik</t>
  </si>
  <si>
    <t>Florian Vesper</t>
  </si>
  <si>
    <t>Schifffahrt</t>
  </si>
  <si>
    <t>&gt; 30 M USD</t>
  </si>
  <si>
    <t>www.minship.com</t>
  </si>
  <si>
    <t>management@minship.com</t>
  </si>
  <si>
    <t>Schnaittenbach</t>
  </si>
  <si>
    <t>Kaolinwerk 1</t>
  </si>
  <si>
    <t>MST Mineralien Schiffahrt Spedition und Transport GmbH</t>
  </si>
  <si>
    <t>Internationale Spedition</t>
  </si>
  <si>
    <t>www.spediton-gollwitzer.de</t>
  </si>
  <si>
    <t>info@gollsped.de</t>
  </si>
  <si>
    <t>0961/4815034</t>
  </si>
  <si>
    <t>0961/481500</t>
  </si>
  <si>
    <t>Regensburger Str. 105</t>
  </si>
  <si>
    <t>Gollwitzer GmbH</t>
  </si>
  <si>
    <t>Susanne Beck und Katharina Braunsteffer</t>
  </si>
  <si>
    <t>Glasfasernetze, Intranet</t>
  </si>
  <si>
    <t>&gt;1200</t>
  </si>
  <si>
    <t>Die Witron Logistik + Informatik GmbH plant und realisiert seit 40 Jahren maßgeschneiderte Logistik- und Materialflussanlagen, welche für den Kunden nachhaltige Wettbewerbsvorteile generiert. Dabei hält Witron die entscheidenden Schlüsselelemente der Projekte in der Hand: Die Logistik-Planung, die Informations- und Steuerungstechnik, die Mechanikkonstruktion und die Mechanikfertigung sowie die Funktionsverantwortung als Logistikgeneralunternehmen. Aus der Realisierungserfahrung von über 2000 Logistikprojekte legt Witron schon in der Konzeptfindungsphase den Grundstein für den entscheidenen Vorsprung.</t>
  </si>
  <si>
    <t>www.witron.de</t>
  </si>
  <si>
    <t>info@witron.de</t>
  </si>
  <si>
    <t>09602/600211</t>
  </si>
  <si>
    <t>09602/60000</t>
  </si>
  <si>
    <t>Parkstein</t>
  </si>
  <si>
    <t>Neustädter Str. 21</t>
  </si>
  <si>
    <t>Witron Logistik + Informatik GmbH</t>
  </si>
  <si>
    <t>Nadine Körber</t>
  </si>
  <si>
    <t>Großhandel für Stahl, Bauelemente, Werkzeug, Eisenwaren, Sanitär, Heizung. Einzelhandel für Hausrat, Geschenkartikel, GPK, Baby, Sport.
PROFI-Baumarkt für Bauen+Heimwerken+Garten. Vermietung von Gewerbeimmobilien (z.B. Norma, NKD)</t>
  </si>
  <si>
    <t>www.rossmann-kg.de</t>
  </si>
  <si>
    <t>info@rossmann-kg.de</t>
  </si>
  <si>
    <t>09671/922089</t>
  </si>
  <si>
    <t>09671/92200</t>
  </si>
  <si>
    <t>Gewerbepark 2-6</t>
  </si>
  <si>
    <t>Aloys Rossmann KG</t>
  </si>
  <si>
    <t>e-mail</t>
  </si>
  <si>
    <t>Zalinschi / Oezsoy</t>
  </si>
  <si>
    <t>JIT/JIS = Engpassmanagement</t>
  </si>
  <si>
    <t xml:space="preserve">Die Grammer AG, Amberg, ist spezialisiert auf die Entwicklung und Herstellung von Komponenten und Systemen für die Pkw-Innenausstattung sowie von Fahrer- und Passagiersitzen für Offroadfahrzeuge (Traktoren, Baumaschinen, Stapler), Lkw, Busse und Bahnen. Das Segment Seating Systems umfasst die Geschäftsfelder Lkw- und Offroad-Sitze sowie Bahn- und Bussitze. Im Segment Automotive liefern wir Kopfstützen, Armlehnen, Mittelkonsolen und integrierte Kindersitze an namhafte Pkw-Hersteller im Premiumbereich und an Systemlieferanten der Fahrzeugindustrie. 
Mit rund 8.000 Mitarbeitern in 23 vollkonsolidierten Gesellschaften ist Grammer in 17 Ländern weltweit tätig. 
Die Grammer Aktie ist im S-DAX vertreten und wird an den Börsen München und Frankfurt, über das elektronische Handelssystem Xetra sowie im Freiverkehr der Börsen Stuttgart, Berlin und Hamburg gehandelt.
</t>
  </si>
  <si>
    <t>www.grammer.com</t>
  </si>
  <si>
    <t>info@grammer.com</t>
  </si>
  <si>
    <t>Amberg</t>
  </si>
  <si>
    <t>Georg Grammer Str. 2</t>
  </si>
  <si>
    <t>Grammer AG</t>
  </si>
  <si>
    <t>Sandra Lingl</t>
  </si>
  <si>
    <t>Es gibt keine Schienen. Wir sind vor allem im Nebenbau tätig und die Beschikung unserer Baustellen werden ausschließlich mit LKW betrieben.</t>
  </si>
  <si>
    <t>ja</t>
  </si>
  <si>
    <t>Informationsfluss zwischen Bauleitern und Verwaltung</t>
  </si>
  <si>
    <t>Kontakt zu Baustellen in Echtzeit</t>
  </si>
  <si>
    <t>16 tst KB</t>
  </si>
  <si>
    <t>09672 1310</t>
  </si>
  <si>
    <t>www. fwb-neunburg.de</t>
  </si>
  <si>
    <t>franz.wilhelm.bau@t-online.de</t>
  </si>
  <si>
    <t>09672 3976</t>
  </si>
  <si>
    <t>Neunburg vorm Wald</t>
  </si>
  <si>
    <t>Sudetendeutsche Straße 10</t>
  </si>
  <si>
    <t>Franz Wilhelm Bauunternehmung GmbH</t>
  </si>
  <si>
    <t>Lagerung</t>
  </si>
  <si>
    <t>800 000</t>
  </si>
  <si>
    <t>zu unflexibel, hohes Ausfallrisiko</t>
  </si>
  <si>
    <t>Internet</t>
  </si>
  <si>
    <t>www.schwarz-spedition.de</t>
  </si>
  <si>
    <t>info@spedition-schwarz-gmbh.com</t>
  </si>
  <si>
    <t>09433/204520</t>
  </si>
  <si>
    <t>09433/20450</t>
  </si>
  <si>
    <t>Nabburg</t>
  </si>
  <si>
    <t>Sauerzapfstraße 11</t>
  </si>
  <si>
    <t xml:space="preserve">Spedition Schwarz GmbH </t>
  </si>
  <si>
    <t>Zuverlässigkeit</t>
  </si>
  <si>
    <t>09628 92060</t>
  </si>
  <si>
    <t>www.tla-gmbh.de</t>
  </si>
  <si>
    <t>info@tla-gmbh.de</t>
  </si>
  <si>
    <t>09628 920620</t>
  </si>
  <si>
    <t>Ursensollen</t>
  </si>
  <si>
    <t>Jakob-Oswald-Straße 26</t>
  </si>
  <si>
    <t>TLA Transport Logistik Agentur GmbH</t>
  </si>
  <si>
    <t>09.05.</t>
  </si>
  <si>
    <t>04.05.</t>
  </si>
  <si>
    <t>Lagerfläche / Lagerhaltung</t>
  </si>
  <si>
    <t>3 Mio €</t>
  </si>
  <si>
    <t>nicht praktikabel</t>
  </si>
  <si>
    <t>zu Siemens</t>
  </si>
  <si>
    <t>parallel</t>
  </si>
  <si>
    <t>Die Loxxess AG operiert als Outsourcingspezialist, der Logistikdienstleistungen entlang der Wertschöpfungskette erbringt und stellt mit seinen komplexen Solutions die Verbindung zw. Herstellern und Händlern auf der einen und dem Kunden auf der anderen Seite dar.</t>
  </si>
  <si>
    <t>www.loxxess.de</t>
  </si>
  <si>
    <t>Michael.Schertl@loxxess.com</t>
  </si>
  <si>
    <t>09438 - 94126 - 30</t>
  </si>
  <si>
    <t>09438 - 94126 - 10</t>
  </si>
  <si>
    <t>Ebermannsdorf</t>
  </si>
  <si>
    <t>Jubatus Allee 6</t>
  </si>
  <si>
    <t>Loxxess</t>
  </si>
  <si>
    <t>24.5.</t>
  </si>
  <si>
    <t>16.5.</t>
  </si>
  <si>
    <t>Logistik / Dienstleistung</t>
  </si>
  <si>
    <t>Kunde lässt es nicht zu !</t>
  </si>
  <si>
    <t>info@auriga-spedition.de</t>
  </si>
  <si>
    <t>09433 202599</t>
  </si>
  <si>
    <t>09433 202590</t>
  </si>
  <si>
    <t>Oskar-von-Miller-Str. 1</t>
  </si>
  <si>
    <t>Spedition Auriga e.K.</t>
  </si>
  <si>
    <t>Workflow HR</t>
  </si>
  <si>
    <t>ERP-System</t>
  </si>
  <si>
    <t>Entwicklung und Produktion von Kabelsätzen, Bordnetzen und deren Komponenten</t>
  </si>
  <si>
    <t>www.autoelectric.de</t>
  </si>
  <si>
    <t>info@autoelectric.de</t>
  </si>
  <si>
    <t>09603 / 2715</t>
  </si>
  <si>
    <t>09603 / 200</t>
  </si>
  <si>
    <t>Floß</t>
  </si>
  <si>
    <t>Vohenstraußer Str. 20</t>
  </si>
  <si>
    <t>NEXANS autoelectric GmbH</t>
  </si>
  <si>
    <t>31.05.</t>
  </si>
  <si>
    <t>20.05.</t>
  </si>
  <si>
    <t>www.gutre.de</t>
  </si>
  <si>
    <t>info@gutre.de</t>
  </si>
  <si>
    <t>09431/7433-23</t>
  </si>
  <si>
    <t>09431/7433-0</t>
  </si>
  <si>
    <t>Wackersdorf</t>
  </si>
  <si>
    <t>Knappenstraße 6</t>
  </si>
  <si>
    <t xml:space="preserve">Gutre </t>
  </si>
  <si>
    <t>Monika Kurz</t>
  </si>
  <si>
    <t>Intranet/ Netzwerk</t>
  </si>
  <si>
    <t>1000 Mbit</t>
  </si>
  <si>
    <t>VPN</t>
  </si>
  <si>
    <t>768/128 Kbit</t>
  </si>
  <si>
    <t>64 Kbit</t>
  </si>
  <si>
    <t>Janesville Acoustics produziert Vliesstoffe, die überwiegend zur Schallisolation in der Automobilindustrie, bei deren Zulieferern, sowie in Haushaltsgeräten eingesetzt werden. Zu den Automotive-Kunden zählen u.a. BMW, Daimler, Audi und Porsche sowie Faurecia, Magna, Intier, Johnson Contols und Rieter. Im Haushaltsgerätebereich liefern wir Isolationsteile für Geschirrspüler der Bosch-Siemens und Miele.</t>
  </si>
  <si>
    <t>www.janesvilleacoustics.com</t>
  </si>
  <si>
    <t>info@janesvilleacoustics.eu</t>
  </si>
  <si>
    <t>09661 904-143</t>
  </si>
  <si>
    <t>09661 904-0</t>
  </si>
  <si>
    <t>Sulzbach-Rosenberg</t>
  </si>
  <si>
    <t>Eisenhämmerstraße 9</t>
  </si>
  <si>
    <t>Janesville Acoustics GmbH Zweigniederlassung der Jason GmbH</t>
  </si>
  <si>
    <t>Sandra Bonczyk</t>
  </si>
  <si>
    <t>Unsere Werkzeuge haben ein Gewicht von 20 - 40 t je Sendung</t>
  </si>
  <si>
    <t>DLS</t>
  </si>
  <si>
    <t>Herstellung von Umformwerkezeugen für die Automobilindustrie (Blechverarbeitung)</t>
  </si>
  <si>
    <t>www.meco-werkzeugbau.de</t>
  </si>
  <si>
    <t>09231-979699</t>
  </si>
  <si>
    <t>09231-97960</t>
  </si>
  <si>
    <t>Waldershof</t>
  </si>
  <si>
    <t>Ludwig-Hüttner-Str. 1</t>
  </si>
  <si>
    <t>Meco-Maschinen-Elektro-Companie</t>
  </si>
  <si>
    <t>www.schwandner-logistik.de</t>
  </si>
  <si>
    <t>09606/92190</t>
  </si>
  <si>
    <t>Pfreimd</t>
  </si>
  <si>
    <t>Am Kalvarienberg 17</t>
  </si>
  <si>
    <t>P. Schwandner Logistik und Transport GmbH</t>
  </si>
  <si>
    <t>Alexander Fiedler &amp; Marco Lorenz</t>
  </si>
  <si>
    <t>97 (Stand Dez. 2010)</t>
  </si>
  <si>
    <t>GFK-Verbindungsteile für Schienenfahrzeuge (Glasfaserverstärkter Kunsstoff</t>
  </si>
  <si>
    <t>www.qantos.de</t>
  </si>
  <si>
    <t>info@qantos.de</t>
  </si>
  <si>
    <t>0961 / 634683-29</t>
  </si>
  <si>
    <t>0961 / 634683-0</t>
  </si>
  <si>
    <t>Am Forst 13</t>
  </si>
  <si>
    <t>Qantos GmbH</t>
  </si>
  <si>
    <t>Keine Verbindung</t>
  </si>
  <si>
    <t>Fertigung von Metallteilen aller Art z.B. Schaltschränke, Gehäuse für die Elektro- und Medizinindustrie</t>
  </si>
  <si>
    <t>09607 / 92030</t>
  </si>
  <si>
    <t>www.img-luhe.de</t>
  </si>
  <si>
    <t>info@img-schwanhof.de</t>
  </si>
  <si>
    <t>09607 / 9203-90</t>
  </si>
  <si>
    <t>Luhe-Wildenau</t>
  </si>
  <si>
    <t>Schwanhof 1</t>
  </si>
  <si>
    <t>IMG</t>
  </si>
  <si>
    <t>2 Mio.</t>
  </si>
  <si>
    <t>Just in time-Lieferungen, kein Bahnanschluss</t>
  </si>
  <si>
    <t>09636/9202-0</t>
  </si>
  <si>
    <t>www.ziegler-erden.de</t>
  </si>
  <si>
    <t>info@ziegler-erden.de</t>
  </si>
  <si>
    <t>09636/9202-40</t>
  </si>
  <si>
    <t>Stein 33</t>
  </si>
  <si>
    <t>Erdenwerk Gregor Ziegler</t>
  </si>
  <si>
    <t>3 Mio.</t>
  </si>
  <si>
    <t>Großhandel mit Roh- und Hilfsstoffen für die Herstellung von faserverstärkten Kunststoffen</t>
  </si>
  <si>
    <t>www.muelmeier.de</t>
  </si>
  <si>
    <t>info@muehlmeier.de</t>
  </si>
  <si>
    <t>09635/920268</t>
  </si>
  <si>
    <t>09635/92020</t>
  </si>
  <si>
    <t>Bärnau</t>
  </si>
  <si>
    <t>Göttlitzweg 2-4</t>
  </si>
  <si>
    <t>Mühlmeier</t>
  </si>
  <si>
    <t>Gizela Golkowski</t>
  </si>
  <si>
    <t xml:space="preserve">Die Novem Gruppe ist ein Automobilzulieferer und Anbieter von Zierteilen und Funktionselemente im Fahrzeuginnenraum. Sie ist in Bereich der Verarbeitung von Edelholz, Aluminium, Drathgewebe, Carbon, Piano Lack, technische Furniere und Kunststoffe tätig. Kerngeschäfte sind Interieurteile. </t>
  </si>
  <si>
    <t>Peter Mazzucco, Jürgen Theobald</t>
  </si>
  <si>
    <t>www.novem.de</t>
  </si>
  <si>
    <t>info@novem.de</t>
  </si>
  <si>
    <t>0049 (9205)18-0</t>
  </si>
  <si>
    <t>Vorbach</t>
  </si>
  <si>
    <t>Industriestraße 45</t>
  </si>
  <si>
    <t>Novem Car Interior Design</t>
  </si>
  <si>
    <t>13.06.</t>
  </si>
  <si>
    <t>WZ 28</t>
  </si>
  <si>
    <t>WZ 24</t>
  </si>
  <si>
    <t>www.iem-kastl.de</t>
  </si>
  <si>
    <t>info@iem-kastl.de</t>
  </si>
  <si>
    <t>09642-3477</t>
  </si>
  <si>
    <t>09642-800</t>
  </si>
  <si>
    <t>Kastl</t>
  </si>
  <si>
    <t>Industriegebiet</t>
  </si>
  <si>
    <t>IEM Fördertechnik</t>
  </si>
  <si>
    <t>umständlich</t>
  </si>
  <si>
    <t>09622 / 2050</t>
  </si>
  <si>
    <t>09622 / 200</t>
  </si>
  <si>
    <t>Dr. Carl-Eibes-Str. 11</t>
  </si>
  <si>
    <t>Kerb-Konus Ges. Dr. Carl Eibes GmbH &amp; Co. KG</t>
  </si>
  <si>
    <t>Mark</t>
  </si>
  <si>
    <t>Yildiz</t>
  </si>
  <si>
    <t>Web</t>
  </si>
  <si>
    <t>10 MBit</t>
  </si>
  <si>
    <t>Telefon</t>
  </si>
  <si>
    <t>Standart</t>
  </si>
  <si>
    <t xml:space="preserve">Im Jahr 1997 startete die EDV-BV als Integrator für Output Management, Dokumentenmanagement, elektronische Archivierung und Workflow. Im Lauf der Jahre wurde das Lösungsportfolio um die Bereiche Textautomation, Document Intelligence, Transpromo und webbasierenden Workflow erweitert. </t>
  </si>
  <si>
    <t>http://www.outputweb.de</t>
  </si>
  <si>
    <t>info@outputweb.de</t>
  </si>
  <si>
    <t>+49 (96 06) 92 01 917</t>
  </si>
  <si>
    <t>+49 (96 06) 92 01 50</t>
  </si>
  <si>
    <t>Wernberger Strasse 44</t>
  </si>
  <si>
    <t>EDV-BV output management GmbH &amp; Co. KG</t>
  </si>
  <si>
    <t>unflexibel</t>
  </si>
  <si>
    <t>Erstellung von Software, Installationen, PV-Anlagen, Schaltschränken…</t>
  </si>
  <si>
    <t>www.sesgroup.eu</t>
  </si>
  <si>
    <t>info@sesgroup.eu</t>
  </si>
  <si>
    <t>09622 719777</t>
  </si>
  <si>
    <t>09622 71976</t>
  </si>
  <si>
    <t>Am Scherhübel 14</t>
  </si>
  <si>
    <t>SES Software, Engineering &amp; Schaltanlagen GmbH</t>
  </si>
  <si>
    <t>Michaela Hummel</t>
  </si>
  <si>
    <t>zu unflexibel</t>
  </si>
  <si>
    <t>www.dorfner.com</t>
  </si>
  <si>
    <t>info@dorfner.com</t>
  </si>
  <si>
    <t>09622 82206</t>
  </si>
  <si>
    <t>09622 820</t>
  </si>
  <si>
    <t>Hirschau</t>
  </si>
  <si>
    <t>Scharhof 1</t>
  </si>
  <si>
    <t>Gebrüder Dorfner</t>
  </si>
  <si>
    <t>Deutsche Steinzeug Cremer &amp; Breuer AG</t>
  </si>
  <si>
    <t>größte deutsche Fließen- und Keramikhersteller</t>
  </si>
  <si>
    <t>www.agrob-buchtal.de</t>
  </si>
  <si>
    <t>agrob-buchtal@deutsche-steinzeug.de</t>
  </si>
  <si>
    <t>09435 3913411</t>
  </si>
  <si>
    <t>09435 3910</t>
  </si>
  <si>
    <t>Schwarzenfeld</t>
  </si>
  <si>
    <t>Buchtal 1</t>
  </si>
  <si>
    <t>Fuhrparkerweiterung</t>
  </si>
  <si>
    <t>pro Jahr 200.000€ (nur für Erhaltung und Investitionen der bestehenden LKW`s)</t>
  </si>
  <si>
    <t>70% ist Baustellen-Direkt-Belieferung, das klappt nicht mit der Bahn</t>
  </si>
  <si>
    <t>Telefon, Internet, Fax</t>
  </si>
  <si>
    <t>ca. 17</t>
  </si>
  <si>
    <t>39 Mitarbeiter und 2 Azubis</t>
  </si>
  <si>
    <t>Groß- und Einzelhandel mit Fliesen, Marmor, Keramikartikeln aus dem Sanitärbereich, Zubehörteilen für Badezimmereinrichtungen und Bodenbelägen aller Art. Die Gesellschaft kann auch andere Geschäfte betreiben. Sie kann andere Unternehmen erwerben, pachten oder sich an solchen beteiligen und zwar insbesondere als persönlich haftende Gesellschafterin, sowie die Vertretung und Geschäftsführung anderer Firmen und Betriebe übernehmen.</t>
  </si>
  <si>
    <t>www.kuebelboeck.de</t>
  </si>
  <si>
    <t>baukeramik@kueblboeck.de</t>
  </si>
  <si>
    <t>09471/900550</t>
  </si>
  <si>
    <t>09471/9000</t>
  </si>
  <si>
    <t>Hopfenröthe 3</t>
  </si>
  <si>
    <t>Ludwig Küblböck Baukeramik GmbH</t>
  </si>
  <si>
    <t>Wir bauen Premiumbikes für alle Leistungsklassen, fertigen jedes Bike nach allerhöchsten Qualitäts- und Sicherheitsansprüchen, durchdacht bis ins allerletzte Detail und geprüft auf jede Eventualität</t>
  </si>
  <si>
    <t>09632/9255-0</t>
  </si>
  <si>
    <t>www.ghost-bikes.de</t>
  </si>
  <si>
    <t>info@ghost-bikes.com</t>
  </si>
  <si>
    <t>09632/9255-16</t>
  </si>
  <si>
    <t>Waldsassen</t>
  </si>
  <si>
    <t>An der Tongrube 3</t>
  </si>
  <si>
    <t>Ghost Bikes</t>
  </si>
  <si>
    <t>Intralogistik</t>
  </si>
  <si>
    <t>ca. 20 Mio. €</t>
  </si>
  <si>
    <t>Auf dem expandierenden Markt 50plus sind wir als Witt-Gruppe einer der führenden Spezialisten im textilen Versandhandel. Wir blicken auf eine 100-jährige Tradition zurück und sind seit 1987 Teil der Otto Group.</t>
  </si>
  <si>
    <t>www.witt-gruppe.eu/home/</t>
  </si>
  <si>
    <t>info@witt-gruppe.eu</t>
  </si>
  <si>
    <t>0961/4001138</t>
  </si>
  <si>
    <t>0961/400-0</t>
  </si>
  <si>
    <t>Schillerstr. 4-12</t>
  </si>
  <si>
    <t>Josef Witt</t>
  </si>
  <si>
    <t>Schaltschrankbau, Kälte und Klimatechnik</t>
  </si>
  <si>
    <t>www.kaeltegrohmann.de</t>
  </si>
  <si>
    <t>info@kaeltegrohmann.de</t>
  </si>
  <si>
    <t>09659 / 930099</t>
  </si>
  <si>
    <t>09659 / 93000</t>
  </si>
  <si>
    <t>Irchenrieth</t>
  </si>
  <si>
    <t>Leuchtenbergerstr. 20</t>
  </si>
  <si>
    <t>Kälte Grohmann GmbH &amp; Co. KG</t>
  </si>
  <si>
    <t>17.06.</t>
  </si>
  <si>
    <t>08.06.</t>
  </si>
  <si>
    <t>zu umständlich</t>
  </si>
  <si>
    <t>Das Unternehmen IKS KühlSysteme bietet Einzel- und Komplettsysteme für die unterschiedlichsten Kühlanforderungen aus nahezu allen Branchen an. Ob Medizintechnik, Maschinen-/ Antriebstechnik, Kunststoffverarbeitung, bis hin zu Automotivezulieferern bieten wir individuelle, nach Kundenwunsch konzipierte Lösungen.</t>
  </si>
  <si>
    <t>www.iks-kuehlung.de</t>
  </si>
  <si>
    <t>09672 / 924322</t>
  </si>
  <si>
    <t>09672 / 92430</t>
  </si>
  <si>
    <t>Schwarzhofen</t>
  </si>
  <si>
    <t>Geratshofen 1</t>
  </si>
  <si>
    <t>IKS Industrielle Kühlsystem</t>
  </si>
  <si>
    <t>kein Interview, selber ausgefüllt</t>
  </si>
  <si>
    <t>ISDN -Anschluss</t>
  </si>
  <si>
    <t>1. Klima- und Kältetechnik im Krankenhaus- und Laborbau
2. eigene Reinraumfertigung mit Messequipment
3. Erstellen von Klimaanlagen mit hoher Wärmerückgewinnung
4. Heizungssysteme für gewerbliche Objekte</t>
  </si>
  <si>
    <t>www.friedmann-gmbh.de</t>
  </si>
  <si>
    <t>elfe.rieger@friedmann-gmbh.de</t>
  </si>
  <si>
    <t>0961 / 6008 - 28</t>
  </si>
  <si>
    <t>0961 / 6008 - 0</t>
  </si>
  <si>
    <t>Dr. von Fromm Str. 11</t>
  </si>
  <si>
    <t>Ing. Carl Friedmann GmbH &amp; Co. KG</t>
  </si>
  <si>
    <t>Alexandra Kick</t>
  </si>
  <si>
    <t>Liefern selbst, mit Einbau</t>
  </si>
  <si>
    <t>ca. 25</t>
  </si>
  <si>
    <t>info@metallbau-wildner.de</t>
  </si>
  <si>
    <t>09604-92200</t>
  </si>
  <si>
    <t>www.wildner-metallwaren.de</t>
  </si>
  <si>
    <t>09604-3068</t>
  </si>
  <si>
    <t>Wernberg-Köblitz</t>
  </si>
  <si>
    <t>Kolpingstr. 24</t>
  </si>
  <si>
    <t>Wildner Metallwaren GmbH &amp; Co. KG</t>
  </si>
  <si>
    <t>Lagerei, Transport</t>
  </si>
  <si>
    <t>zeitlich</t>
  </si>
  <si>
    <t>keine Angabe</t>
  </si>
  <si>
    <t>www.fichtl.com</t>
  </si>
  <si>
    <t>fichtl@fichtl.com</t>
  </si>
  <si>
    <t>09431 529162</t>
  </si>
  <si>
    <t>09441 686317</t>
  </si>
  <si>
    <t>Bellstr. 14</t>
  </si>
  <si>
    <t>Transport Logistik Schwandorf  GmbH</t>
  </si>
  <si>
    <t>Tanja Nützelberger</t>
  </si>
  <si>
    <t>ISDN- Anschluss</t>
  </si>
  <si>
    <t>proels-winderl@t-online.de</t>
  </si>
  <si>
    <t>09662 41140</t>
  </si>
  <si>
    <t>09662 411414</t>
  </si>
  <si>
    <t>Vilseck</t>
  </si>
  <si>
    <t>Schlichter Str. 18</t>
  </si>
  <si>
    <t>Pröls &amp; Winderl GmbH</t>
  </si>
  <si>
    <t>Individuelle, maßgeschneiderte Produkte im Bereich Gartenholz, Schnittholz für die Holzindustrie, Holz für den modernen Holzbau, Paletten- und Verpackungsholz</t>
  </si>
  <si>
    <t>www.ziegler-holzindustrie.de</t>
  </si>
  <si>
    <t>info@ziegler-holzindustrie.de</t>
  </si>
  <si>
    <t>09636/1361</t>
  </si>
  <si>
    <t>09636/9209-0</t>
  </si>
  <si>
    <t>Betzenmühle 3</t>
  </si>
  <si>
    <t>Ziegler Holzindustrie</t>
  </si>
  <si>
    <t>Vesper Florian</t>
  </si>
  <si>
    <t>Transportlogistik</t>
  </si>
  <si>
    <t>09602 82-69</t>
  </si>
  <si>
    <t>Hierschau</t>
  </si>
  <si>
    <t>Scharfhof 1</t>
  </si>
  <si>
    <t>Dormineral Handels-und-Speditions-GmbH &amp; Co.KG</t>
  </si>
  <si>
    <t>Lieferort nicht direkt mit Bahn angebunden. Abwicklung zu aufwendig</t>
  </si>
  <si>
    <t>5000kb/s</t>
  </si>
  <si>
    <t>Hersteller von Förder- und Automatisierungstechnik (komplettes Leistungsspektrum: Planen, Konstruktion, Produktion, Schaltschrankbau, Verkabelung, Software-Herstellung, Montage und Inbetriebnahme)</t>
  </si>
  <si>
    <t>www.lippert.de</t>
  </si>
  <si>
    <t>lippert@lippert.de</t>
  </si>
  <si>
    <t>Pressath</t>
  </si>
  <si>
    <t>Boettergerstraße 46</t>
  </si>
  <si>
    <t>Julius Lippert GmbH &amp; Co. KG</t>
  </si>
  <si>
    <t>0,5 Mio.</t>
  </si>
  <si>
    <t>Kein Gleis, zu geringe Flexibilität, sehr kurze Dispozeiten (1-3 Tage), nicht umladefähige Ware</t>
  </si>
  <si>
    <t xml:space="preserve">Individueller Anlagenbau: Rauchgas- und Abluftanlagen mit dazugeh. Komponenten Stahlbau, Druckbehälter, Elektrofilter, Schalldämpfer, Kaminanlagen, </t>
  </si>
  <si>
    <t>www.a-schmelzer.de</t>
  </si>
  <si>
    <t>09231-72697</t>
  </si>
  <si>
    <t>09231-97920</t>
  </si>
  <si>
    <t>Dr. Zimmerer Str. 28</t>
  </si>
  <si>
    <t>Ambros Schmelzer u. Sohn Gmbh u. Co.KG</t>
  </si>
  <si>
    <t>für die Mikrologistik nicht geeignet</t>
  </si>
  <si>
    <t>www.ebert-jacobi-finze.de</t>
  </si>
  <si>
    <t>09606 1374</t>
  </si>
  <si>
    <t>09606 92030</t>
  </si>
  <si>
    <t>Am Kalvarienberg 15</t>
  </si>
  <si>
    <t>Ebert + Jacobi Finze</t>
  </si>
  <si>
    <t>kein Bedraf</t>
  </si>
  <si>
    <t>frey-centrum.de</t>
  </si>
  <si>
    <t>Marktredwitz</t>
  </si>
  <si>
    <t>Markt 34-38</t>
  </si>
  <si>
    <t>Freiwahl Kaufhaus GmbH &amp; Co.KG</t>
  </si>
  <si>
    <t>Thomas Kruppa</t>
  </si>
  <si>
    <t>Anbieter von Kleinprodukten</t>
  </si>
  <si>
    <t>Ein 1924 gegründetes Familienunternehmen, welches zu modernen Fabrik heranwuchs. Bei Dill finden Sie die ganze Fertigung, um Rohmaterial bis zum fertigen Knopf. 25.000 verschiedene Positionen sind sofort lieferbar und auch Sonderanfertigungen können nach wenigen Tagen ausgeliefert werden</t>
  </si>
  <si>
    <t>www.dill-buttons.com</t>
  </si>
  <si>
    <t>info@dill-buttons.com</t>
  </si>
  <si>
    <t>09635-8037</t>
  </si>
  <si>
    <t>09635-800</t>
  </si>
  <si>
    <t>Beierfeld 5</t>
  </si>
  <si>
    <t>Hans Dill Knopffabrik-Galvanotechnik</t>
  </si>
  <si>
    <t>Lagerhalle</t>
  </si>
  <si>
    <t>200000 Euro</t>
  </si>
  <si>
    <t>Internet/ Mail</t>
  </si>
  <si>
    <t>bis 34 kbit</t>
  </si>
  <si>
    <t>Tests</t>
  </si>
  <si>
    <t>61kbit</t>
  </si>
  <si>
    <t>64kbit</t>
  </si>
  <si>
    <t>Planung, Engineering, Lieferung und Montage von Wannen und Anlagen zur Herstellung/ Produktion von Glas</t>
  </si>
  <si>
    <t>www.hornglas.com</t>
  </si>
  <si>
    <t>info@hornglas.de</t>
  </si>
  <si>
    <t>09636-920410</t>
  </si>
  <si>
    <t>09636-92040</t>
  </si>
  <si>
    <t>Plössberg</t>
  </si>
  <si>
    <t>Bergstrasse 2</t>
  </si>
  <si>
    <t>Horn Glass Industries AG</t>
  </si>
  <si>
    <t>15.5.</t>
  </si>
  <si>
    <t>Email, Frachtenbörse etc.</t>
  </si>
  <si>
    <t>www.spedition-stahl.com</t>
  </si>
  <si>
    <t>karl.stahl@spedition-stahl.com</t>
  </si>
  <si>
    <t>09605/922519</t>
  </si>
  <si>
    <t>09605/92250</t>
  </si>
  <si>
    <t>Weiherhammer</t>
  </si>
  <si>
    <t>Etzenrichter Straße 14</t>
  </si>
  <si>
    <t>Karl Stahl Spedition GmbH</t>
  </si>
  <si>
    <t>Unzureichende Bahnanbindung</t>
  </si>
  <si>
    <t>intern</t>
  </si>
  <si>
    <t>Siemens Healthcare in Kemnath entwickelt und fertigt Komponenten für medizintechnische Geräte</t>
  </si>
  <si>
    <t>www.siemens.com</t>
  </si>
  <si>
    <t>09642-18-0</t>
  </si>
  <si>
    <t>Kemnath</t>
  </si>
  <si>
    <t>Röntgenstrasse 19-21</t>
  </si>
  <si>
    <t>Siemens Healthcare</t>
  </si>
  <si>
    <t>Suchspalte</t>
  </si>
  <si>
    <t>15b</t>
  </si>
  <si>
    <t>15a</t>
  </si>
  <si>
    <t>*</t>
  </si>
  <si>
    <t>Arbeitsplätzer Logistik bis 10%</t>
  </si>
  <si>
    <t>Mitarbeiter ab 1000</t>
  </si>
  <si>
    <t>Mitarbeiter 500 - 999</t>
  </si>
  <si>
    <t>Mitarbeiter 200 - 499</t>
  </si>
  <si>
    <t>Mitarbeiter 100 - 199</t>
  </si>
  <si>
    <t>Mitarbeiter 50 - 99</t>
  </si>
  <si>
    <t>Mitarbeiter 20 - 49</t>
  </si>
  <si>
    <t>Mitarbeiter 10-19</t>
  </si>
  <si>
    <t>Mitarbeiter 4-9</t>
  </si>
  <si>
    <t>Gesamtumsatz über 100 Mio €</t>
  </si>
  <si>
    <t>Gesamtumsatz 5 Mio € - 100 Mio €</t>
  </si>
  <si>
    <t>Gesamtumsatz 1 Mio € - 5 Mio €</t>
  </si>
  <si>
    <t>Gesamtumsatz 500.000 € - 1 Mio €</t>
  </si>
  <si>
    <t>Gesamtumsatz 200.000 € - 500.000 €</t>
  </si>
  <si>
    <t>Gesamtumsatz bis 200.000 €</t>
  </si>
  <si>
    <t>Kernkompetenz: Sonstige</t>
  </si>
  <si>
    <t>Kernkompetenz: Immobilienmanagement</t>
  </si>
  <si>
    <t>Kernkompetenz: Dienstleistung Personal/Arbeitskräftevermittlung</t>
  </si>
  <si>
    <t>Kernkompetenz: Dienstleistung Value-added Services</t>
  </si>
  <si>
    <t>Kernkompetenz: Dienstleistung Fulfillment</t>
  </si>
  <si>
    <t>Kernkompetenz: Dienstleistung Kontraktlogistik</t>
  </si>
  <si>
    <t>Kernkompetenz: Dienstleistung Outsourcing</t>
  </si>
  <si>
    <t xml:space="preserve">Kernkompetenz: Dienstleistung </t>
  </si>
  <si>
    <t>Kernkompetenz: Call Center</t>
  </si>
  <si>
    <t>Kernkompetenz: DV/ Softwareerstellung/ Softwareanpassung</t>
  </si>
  <si>
    <t>Kernkompetenz: Transport</t>
  </si>
  <si>
    <t>Kernkompetenz: Handel</t>
  </si>
  <si>
    <t>Kernkompetenz: Produktion</t>
  </si>
  <si>
    <t>Alles</t>
  </si>
  <si>
    <t>Suchkriterium</t>
  </si>
  <si>
    <t>Auswahl</t>
  </si>
  <si>
    <t>Filter 2</t>
  </si>
  <si>
    <t>Filter 1</t>
  </si>
  <si>
    <t>Dienstleister</t>
  </si>
  <si>
    <t>Mitarbeiter einstellen</t>
  </si>
  <si>
    <t>Vielleicht und Ja</t>
  </si>
  <si>
    <t>expandieren</t>
  </si>
  <si>
    <t>16 ?</t>
  </si>
  <si>
    <t>15 ?</t>
  </si>
  <si>
    <t>Beeinflussen Transport</t>
  </si>
  <si>
    <t>Zusammenarbeit Logistikebene</t>
  </si>
  <si>
    <t>Logistik Dienstleister ?</t>
  </si>
  <si>
    <t>Arbeitsplätze Logistik</t>
  </si>
  <si>
    <t>Mitarbeiter</t>
  </si>
  <si>
    <t>Haupt-WZ 25</t>
  </si>
  <si>
    <t>Haupt-WZ 26</t>
  </si>
  <si>
    <t>Haupt-WZ 27</t>
  </si>
  <si>
    <t>Haupt-WZ 45320</t>
  </si>
  <si>
    <t>Haupt-WZ 46</t>
  </si>
  <si>
    <t>Haupt-WZ 47</t>
  </si>
  <si>
    <t>Haupt-WZ 4791</t>
  </si>
  <si>
    <t>Haupt-WZ 50</t>
  </si>
  <si>
    <t>Haupt-WZ 51</t>
  </si>
  <si>
    <t>Haupt-WZ 52</t>
  </si>
  <si>
    <t>Haupt-WZ 62</t>
  </si>
  <si>
    <t>Haupt-WZ 63</t>
  </si>
  <si>
    <t>Haupt-WZ 70</t>
  </si>
  <si>
    <t>Haupt-WZ 711</t>
  </si>
  <si>
    <t>Haupt-WZ 72</t>
  </si>
  <si>
    <t>Haupt-WZ 74</t>
  </si>
  <si>
    <t>Haupt-WZ 78</t>
  </si>
  <si>
    <t>Haupt-WZ 82</t>
  </si>
  <si>
    <t>Haupt-WZ 822</t>
  </si>
  <si>
    <t>WZ 17</t>
  </si>
  <si>
    <t>WZ 29</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</si>
  <si>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</si>
  <si>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</si>
  <si>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</si>
  <si>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</si>
  <si>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</si>
  <si>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</si>
  <si>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</si>
  <si>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</si>
  <si>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</si>
  <si>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</si>
  <si>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</si>
  <si>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</si>
  <si>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</si>
  <si>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</si>
  <si>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</si>
  <si>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</si>
  <si>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</si>
  <si>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</si>
  <si>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</si>
  <si>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</si>
  <si>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</si>
  <si>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</si>
  <si>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</si>
  <si>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</si>
  <si>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</si>
  <si>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</si>
  <si>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</si>
  <si>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</si>
  <si>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</si>
  <si>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</si>
  <si>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</si>
  <si>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</si>
  <si>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</si>
  <si>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</si>
  <si>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</si>
  <si>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</si>
  <si>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</si>
  <si>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</si>
  <si>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</si>
  <si>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</si>
  <si>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</si>
  <si>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</si>
  <si>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</si>
  <si>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</si>
  <si>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</si>
  <si>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</si>
  <si>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</si>
  <si>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</si>
  <si>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</si>
  <si>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</si>
  <si>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</si>
  <si>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</si>
  <si>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</si>
  <si>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</si>
  <si>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</si>
  <si>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</si>
  <si>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</si>
  <si>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</si>
  <si>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</si>
  <si>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</si>
  <si>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</si>
  <si>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</si>
  <si>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</si>
  <si>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</si>
  <si>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</si>
  <si>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</si>
  <si>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</si>
  <si>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</si>
  <si>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</si>
  <si>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</si>
  <si>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</si>
  <si>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</si>
  <si>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</si>
  <si>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</si>
  <si>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</si>
  <si>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</si>
  <si>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</si>
  <si>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</si>
  <si>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</si>
  <si>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</si>
  <si>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</si>
  <si>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</si>
  <si>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</si>
  <si>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</si>
  <si>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</si>
  <si>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</si>
  <si>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</si>
  <si>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</si>
  <si>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</si>
  <si>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</si>
  <si>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</si>
  <si>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</si>
  <si>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</si>
  <si>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</si>
  <si>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</si>
  <si>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</si>
  <si>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</si>
  <si>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</si>
  <si>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</si>
  <si>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</si>
  <si>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</si>
  <si>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</si>
  <si>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</si>
  <si>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</si>
  <si>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</si>
  <si>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</si>
  <si>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</si>
  <si>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</si>
  <si>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</si>
  <si>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</si>
  <si>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</si>
  <si>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</si>
  <si>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</si>
  <si>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dl</t>
  </si>
  <si>
    <t>dk</t>
  </si>
  <si>
    <t>WZ 13</t>
  </si>
  <si>
    <t>Planen Sie logistische  Dienstleistungen an dritte anzubieten</t>
  </si>
  <si>
    <t>Buchhandlung Stangl + Taubald</t>
  </si>
  <si>
    <t>Wörthstr. 14</t>
  </si>
  <si>
    <t>0961 / 48 22 00</t>
  </si>
  <si>
    <t>0961 / 48 22 0 22</t>
  </si>
  <si>
    <t>info@buch-stangl.de</t>
  </si>
  <si>
    <t>http://www.buch-stangl.de/</t>
  </si>
  <si>
    <t>Buchhandlung Vollsortiment</t>
  </si>
  <si>
    <t>Tanja Dippl</t>
  </si>
  <si>
    <t>Constantia Hueck Folien</t>
  </si>
  <si>
    <t>Pirkmühle 14-16</t>
  </si>
  <si>
    <t>Pirk</t>
  </si>
  <si>
    <t>+49 (0) 961 87 0</t>
  </si>
  <si>
    <t>+49 (0) 961 87 235</t>
  </si>
  <si>
    <t>office@constantia-hueck.com</t>
  </si>
  <si>
    <t>http://www.constantia-hueck.com/</t>
  </si>
  <si>
    <t>Entwicklung und Herstellung von hochveredelten flexiblen und innovativen Packstoffen für die Pharmazie- und Lebensmittelindustrie</t>
  </si>
  <si>
    <t>Claudia Dippl</t>
  </si>
  <si>
    <t>Dippl Stahlgitterboxen GmbH</t>
  </si>
  <si>
    <t>Waidhauser Str. 33</t>
  </si>
  <si>
    <t>09653 / 1715</t>
  </si>
  <si>
    <t>09653 / 1717</t>
  </si>
  <si>
    <t>dippl-eslarn@t-online.de</t>
  </si>
  <si>
    <t>www.dippl-eslarn.de</t>
  </si>
  <si>
    <t>Produzent von Euro-Gitterboxen. Besondere Merkmale: Individuelle Herstellung von Transport- und Stahlbehältern zur Einlagerung von Produkten jeglicher Art. Unternehmen besitzt EPAL-Lizenz (European Pallet Association) und ist zugelassener Produzent des Güteverbandes der UIC (Internationaler Eisenverband, franz. „Union internationale des chemins de fer“, engl. „International Union of Railways“).</t>
  </si>
  <si>
    <t>Kein Bahnhof vorhanden und der nächste ist zu weit entfernt. Die ehemalige Bahnstrecke wurde stillgelegt.</t>
  </si>
  <si>
    <t>Eisen Knorr AG</t>
  </si>
  <si>
    <t>Pressatherstr. 41-49</t>
  </si>
  <si>
    <t>0961/2030</t>
  </si>
  <si>
    <t>0961/28844</t>
  </si>
  <si>
    <t>Info@knorrweiden.de</t>
  </si>
  <si>
    <t>www.KnorrWeiden.de</t>
  </si>
  <si>
    <t>Verkauf unseres Verkaufssortiments und Zustellung durch unsere eigenen LKW`s zu unseren Kunden (Handwerker,Industrie, Endkunden)</t>
  </si>
  <si>
    <t>64 kbit/s</t>
  </si>
  <si>
    <t>POS - Cashgeräte; Anwendungssoftware</t>
  </si>
  <si>
    <t>Intern - LAN</t>
  </si>
  <si>
    <t>Intranetportal-Info-Austausch</t>
  </si>
  <si>
    <t>Order und Order response</t>
  </si>
  <si>
    <t>Kleber Transporte GbR</t>
  </si>
  <si>
    <t>Waidhauser Str. 29</t>
  </si>
  <si>
    <t>09653 / 91113</t>
  </si>
  <si>
    <t>kleber.johannes1@freenet.de</t>
  </si>
  <si>
    <t>Spedition mit Übernahme sämtlicher Logistikdienstleistungen im Agrar-, Bau- und Holzsektor. Handel mit sämtlichen Baumaterialien.</t>
  </si>
  <si>
    <t>Viele verschiedene Abladestellen.</t>
  </si>
  <si>
    <t>F.S. Fehrer Automotive GmbH</t>
  </si>
  <si>
    <t>Oskar-von-Miller-Straße 15</t>
  </si>
  <si>
    <t>09431/7496-0</t>
  </si>
  <si>
    <t>09431/7496-70</t>
  </si>
  <si>
    <t>info@fehrer.com</t>
  </si>
  <si>
    <t>www.fehrer.com</t>
  </si>
  <si>
    <t>Herstellung von Formpolstern für Fahrzeugsitze; im Werk Wackersdorf für Lear, BMW Dingolfing und BMW München, Wall-to-wall-Lieferung zu Lear Wackersdorf</t>
  </si>
  <si>
    <t>3000 kbit/s</t>
  </si>
  <si>
    <t>Netzwerk</t>
  </si>
  <si>
    <t>internes Firmennetz</t>
  </si>
  <si>
    <t>Kunden-/Lieferantenabrufe</t>
  </si>
  <si>
    <t>Nicht umsetzbar am Standort</t>
  </si>
  <si>
    <t>FWE Formen- und Werkzeugbau Eslarn</t>
  </si>
  <si>
    <t>Zankeltrad 16</t>
  </si>
  <si>
    <t>09653 / 92934-11</t>
  </si>
  <si>
    <t>09653 / 92934-90</t>
  </si>
  <si>
    <t>m.bodner@fwe-eslarn.de</t>
  </si>
  <si>
    <t>www.fwe-eslarn.de</t>
  </si>
  <si>
    <t>Herstellung von technischen Kunststoffteilen für die Automobil- und Elektroindustrie, sowie der Bau der dafür notwendigen Spritzgusswerkzeuge.</t>
  </si>
  <si>
    <t>ca. 160</t>
  </si>
  <si>
    <t>DSL 2000</t>
  </si>
  <si>
    <t>Datenaustausch intern und zu Kunden</t>
  </si>
  <si>
    <t>Logistisch nur durch hohen Mehraufwand realisierbar --&gt; unrentabel</t>
  </si>
  <si>
    <t>derzeit keine Aussage möglich</t>
  </si>
  <si>
    <t>Lagerhaltung/Versand</t>
  </si>
  <si>
    <t>Klug GmbH integrierte Systeme</t>
  </si>
  <si>
    <t>Lindenweg 13</t>
  </si>
  <si>
    <t>Teunz</t>
  </si>
  <si>
    <t>09671 9216-0</t>
  </si>
  <si>
    <t>09671 9216-12</t>
  </si>
  <si>
    <t>klug@klug-is.de</t>
  </si>
  <si>
    <t>www.klug-is.de</t>
  </si>
  <si>
    <t>Die Kernkompetenzen von Klug GmbH integrierte Systeme liegen in der ganzheitlichen Lösung von Intralogistikaufgaben im Bereich der Lager- und Kommissioniertechnik sowie der Versandabwicklung und Automatisierung. Von der Datenanalyse bis zur Generalunternehmer-Abwicklung werden Projekte modular als Gewerke oder komplett realisiert. Projektierung, Projektleitung sowie Elektrotechnik und Software für manuelle, teilautomatisierte und vollautomatisierte Logistiksysteme kommen dabei aus einer Hand.</t>
  </si>
  <si>
    <t>1 Gbit</t>
  </si>
  <si>
    <t>1000 Kbit</t>
  </si>
  <si>
    <t>10 Gbit</t>
  </si>
  <si>
    <t>Standortvernetzung</t>
  </si>
  <si>
    <t>Zu kleinformatige Sendungen</t>
  </si>
  <si>
    <t>Stahl Lasertechnik GmbH &amp; Co. KG</t>
  </si>
  <si>
    <t>Halskestr. 6</t>
  </si>
  <si>
    <t>09431/7435-0</t>
  </si>
  <si>
    <t>09431/7424-42</t>
  </si>
  <si>
    <t>info@stahl-lasertechnik.de</t>
  </si>
  <si>
    <t>www.stahl-lasertechnik.de</t>
  </si>
  <si>
    <t xml:space="preserve">1990 wurde in Wackersdorf ein zweiter Standort der Firma Stahl im Bereich Blechfertigung errichtet. Auch hier wurde sehr schnell durch Einsatz der stets modernsten CO2-Laser, Wasserstrahlschneideanlagen, CNC-Abkantpressen sowie eine eigene Schweiß- und Montageabteilung mit Schweißrobotern das Leistungsspektrum erweitert. Unser Anspruch ist es, unsere Kunden rundum zufrieden zu stellen. Aus diesem Grund legen wir hohen Wert auf eine gute Betriebsausstattung, sowie qualifizierte und motivierte Mitarbeiter. </t>
  </si>
  <si>
    <t>Mailverkehr</t>
  </si>
  <si>
    <t>Hausintern</t>
  </si>
  <si>
    <t>Aufträge zu kurzfristig; zu geringe Menge</t>
  </si>
  <si>
    <t>Wolfgang Scharnagl Hoch- und Tiefbau GmbH &amp; Co KG</t>
  </si>
  <si>
    <t>Oskar-von-Miller-Straße 18</t>
  </si>
  <si>
    <t>0961/670010</t>
  </si>
  <si>
    <t>0961/67001149</t>
  </si>
  <si>
    <t>gfd@scharnagl.de</t>
  </si>
  <si>
    <t>www.scharnagl.de</t>
  </si>
  <si>
    <t>Hoch- und Tiefbauunternehmen</t>
  </si>
  <si>
    <t>Logistisch zu umständlich.</t>
  </si>
  <si>
    <t>????_Auto*</t>
  </si>
  <si>
    <t>????_Indu*</t>
  </si>
  <si>
    <t>????_Dien*</t>
  </si>
  <si>
    <t>????_Groß*</t>
  </si>
  <si>
    <t>????_Verk*</t>
  </si>
  <si>
    <t>????_Einz*</t>
  </si>
  <si>
    <t>????_Vers*</t>
  </si>
  <si>
    <t>????_Soft*</t>
  </si>
  <si>
    <t>????_Call*</t>
  </si>
  <si>
    <t>????_Fors*</t>
  </si>
  <si>
    <t>????_????_Z 25*</t>
  </si>
  <si>
    <t>????_????_Z 26*</t>
  </si>
  <si>
    <t>????_????_Z 27*</t>
  </si>
  <si>
    <t>????_????_5320*</t>
  </si>
  <si>
    <t>????_????_Z 46*</t>
  </si>
  <si>
    <t>????_????_Z 47*</t>
  </si>
  <si>
    <t>????_????_4791*</t>
  </si>
  <si>
    <t>????_????_Z 50*</t>
  </si>
  <si>
    <t>????_????_Z 51*</t>
  </si>
  <si>
    <t>????_????_Z 52*</t>
  </si>
  <si>
    <t>????_????_Z 62*</t>
  </si>
  <si>
    <t>????_????_Z 63*</t>
  </si>
  <si>
    <t>????_????_Z 70*</t>
  </si>
  <si>
    <t>????_????_ 711*</t>
  </si>
  <si>
    <t>????_????_Z 72*</t>
  </si>
  <si>
    <t>????_????_Z 74*</t>
  </si>
  <si>
    <t>????_????_Z 78*</t>
  </si>
  <si>
    <t>????_????_Z 82*</t>
  </si>
  <si>
    <t>????_????_ 822*</t>
  </si>
  <si>
    <t>Logistisches Zentrum NICHT interessant</t>
  </si>
  <si>
    <t>????_????_????_?????_???_???_??_F*</t>
  </si>
  <si>
    <t>????_????_????_?????_???_???_??_W*</t>
  </si>
  <si>
    <t>ATU Auto-Teile-Unger Weiden</t>
  </si>
  <si>
    <t>Dr. Kilian-Str. 11</t>
  </si>
  <si>
    <t>0180-52727090</t>
  </si>
  <si>
    <t>0961 / 306-5672</t>
  </si>
  <si>
    <t xml:space="preserve">info@de.atu.eu </t>
  </si>
  <si>
    <t>www.atu.de</t>
  </si>
  <si>
    <t>Über 600 Filialen in D, A, CH, NL und CZ. Fachmarkt (= Handel) mit Meisterwerkstatt (= Dienstleistung). 2 Zentrallager zur Versorgung der eigenen Filialen (Weiden und Werl)</t>
  </si>
  <si>
    <t>Herr Haag</t>
  </si>
  <si>
    <t>5.05.2011/12.05.2011</t>
  </si>
  <si>
    <t>G. Hoffmann</t>
  </si>
  <si>
    <t>Parksteiner Straße 53</t>
  </si>
  <si>
    <t>0961/2080</t>
  </si>
  <si>
    <t>0961/20820</t>
  </si>
  <si>
    <t>www.ghoffmann-nbg.de</t>
  </si>
  <si>
    <t>Herr Viendl</t>
  </si>
  <si>
    <t>Sanitär Großhandel</t>
  </si>
  <si>
    <t>IDSL- Anschluss</t>
  </si>
  <si>
    <t>Kontraktlogistik / Fulfillment / Value Added Services:</t>
  </si>
  <si>
    <t>Kennametal Produktions GmbH &amp; Co. KG</t>
  </si>
  <si>
    <t>An der alten Naab 1</t>
  </si>
  <si>
    <t>09433/8990</t>
  </si>
  <si>
    <t>09433/6556</t>
  </si>
  <si>
    <t>Werkzeughersteller</t>
  </si>
  <si>
    <t>Sennebogen Maschinentechnik</t>
  </si>
  <si>
    <t>Oskar-von-Miller-Straße 1-5</t>
  </si>
  <si>
    <t>09431/634-0</t>
  </si>
  <si>
    <t>09431/634-102</t>
  </si>
  <si>
    <t>www.sennebogen.com</t>
  </si>
  <si>
    <t>Herstellung von Mobil- und Raupenbaggern für Rück- und Technische Anforderung 20-100 to; Materialumschlaggeräte</t>
  </si>
  <si>
    <t>DSL                     Intranet</t>
  </si>
  <si>
    <t>Dippl Claudia</t>
  </si>
  <si>
    <t>BIRNER Logistik &amp; DL GmbH</t>
  </si>
  <si>
    <t>Johannes-Gutenberg-Str. 7</t>
  </si>
  <si>
    <t>Kümmersbruck</t>
  </si>
  <si>
    <t>09624 / 9218 - 0</t>
  </si>
  <si>
    <t>09624 / 9218 - 22</t>
  </si>
  <si>
    <t>info@birner-logistik.de</t>
  </si>
  <si>
    <t>www.birner-logistik.de</t>
  </si>
  <si>
    <t>nicht möglich</t>
  </si>
  <si>
    <t>3 Mio</t>
  </si>
  <si>
    <t>The Lorenz Bahlsen Snack World</t>
  </si>
  <si>
    <t>Industriestraße 11</t>
  </si>
  <si>
    <t>09672 / 46 - 0</t>
  </si>
  <si>
    <t>09672 / 3826</t>
  </si>
  <si>
    <t>www.lorenz-snackworld.de</t>
  </si>
  <si>
    <t>27.06.</t>
  </si>
  <si>
    <t>22.06.</t>
  </si>
  <si>
    <t>29.06.</t>
  </si>
  <si>
    <t>ZBG</t>
  </si>
  <si>
    <t>Sandmühlweg 8</t>
  </si>
  <si>
    <t>Bruck i.d. Opf.</t>
  </si>
  <si>
    <t>09434 / 201 - 0</t>
  </si>
  <si>
    <t>09434 / 201 - 350</t>
  </si>
  <si>
    <t>info@zbg.de</t>
  </si>
  <si>
    <t>www.zbg.de</t>
  </si>
  <si>
    <t>Großserienfertigung mit ausgeprägter kapitalintensiver, automatisierter Herstellmethode von Motorenteilen</t>
  </si>
  <si>
    <t>Datenaustausch</t>
  </si>
  <si>
    <t>zu teuer und unflexibel</t>
  </si>
  <si>
    <t>1.500.000 Mio. €</t>
  </si>
  <si>
    <t>Lagerflächen</t>
  </si>
  <si>
    <t>07.06.</t>
  </si>
  <si>
    <t>Spedition Alfons Hauer</t>
  </si>
  <si>
    <t>Phillipp-Karl-Str. 11</t>
  </si>
  <si>
    <t>0961 63494-0</t>
  </si>
  <si>
    <t>0961 61750</t>
  </si>
  <si>
    <t>www.hauer-mineraloele.de</t>
  </si>
  <si>
    <t>Handel und Lagerung von Mineralölprodukten; Transport von Gütern</t>
  </si>
  <si>
    <t>32 MB/s</t>
  </si>
  <si>
    <t>Übertragung</t>
  </si>
  <si>
    <t>HAMM AG</t>
  </si>
  <si>
    <t>Hammstraße 1</t>
  </si>
  <si>
    <t>Tirschenreuth</t>
  </si>
  <si>
    <t>09631/80-0</t>
  </si>
  <si>
    <t>09631/80-111</t>
  </si>
  <si>
    <t>info@hamm.eu</t>
  </si>
  <si>
    <t>www.hamm.eu</t>
  </si>
  <si>
    <t>Hamm bietet für die verschiedensten Aufgabenstellungen des Erd- und Straßenbaus äußerst anwendungefreundliche Baumaschinen für das Verdichten an</t>
  </si>
  <si>
    <t>10 Mbit</t>
  </si>
  <si>
    <t>Kein Gleisanschluss in Tirschenreuth</t>
  </si>
  <si>
    <t>Spachtholz Stefanie</t>
  </si>
  <si>
    <t>Bemondis</t>
  </si>
  <si>
    <t>Rötzer Straße 36</t>
  </si>
  <si>
    <t>09672 / 92423</t>
  </si>
  <si>
    <t>info@bemondis.de</t>
  </si>
  <si>
    <t>www.bemondis.de</t>
  </si>
  <si>
    <t>Realisierung kundenspezifischer Projekte, beginnend mit der Idee, über die Projektierung bis hin zu Serienfertigung,Installation und After - Sale - Service</t>
  </si>
  <si>
    <t>30.06.</t>
  </si>
  <si>
    <t>23.06.</t>
  </si>
  <si>
    <t>01.07.</t>
  </si>
  <si>
    <t>Standort:</t>
  </si>
  <si>
    <t>Eigentumsverhältnisse:</t>
  </si>
  <si>
    <t>Kernkompetenz:</t>
  </si>
  <si>
    <t>Umsatz:</t>
  </si>
  <si>
    <t>DV</t>
  </si>
  <si>
    <t>WZ:</t>
  </si>
  <si>
    <t>Diagramme</t>
  </si>
  <si>
    <t>Frage 11: Welche art einer Zusammenarbeit mit anderen Unternehmen auf der Logistikebene betreiben Sie oder planen Sie?</t>
  </si>
  <si>
    <t>Outcourcing</t>
  </si>
  <si>
    <t>Frage 12: Welche der folgenden Informations- und Kommu. Systeme werden im Unternehmen verwendet?</t>
  </si>
  <si>
    <t>Frage 13: Welche Transporte fallen bei Ihnen an?</t>
  </si>
  <si>
    <t>LKW</t>
  </si>
  <si>
    <t>Frage 18: Was ist ein wichtiges Kriterium für die Beibehaltung eines Untern. Mit relevanter Logistik in der Region?</t>
  </si>
  <si>
    <t>Navigation</t>
  </si>
  <si>
    <t>Gesamtauswertung</t>
  </si>
  <si>
    <t>Herr Rossmann</t>
  </si>
  <si>
    <t>siegfried@rossmann-KG.de</t>
  </si>
  <si>
    <t>Entvölkerung, Fachkräftemangel, Mindestlohndiskussion</t>
  </si>
  <si>
    <t>Hr. G. Schmelzer/Hr. H. Keck</t>
  </si>
  <si>
    <t>Sabine Hager</t>
  </si>
  <si>
    <t>09231-979234</t>
  </si>
  <si>
    <t>Ambros Schmelzer &amp; Sohn GmbH &amp; Co.KG</t>
  </si>
  <si>
    <t>Schmelzer s.r.o.</t>
  </si>
  <si>
    <t>Marianskolazenska 258</t>
  </si>
  <si>
    <t>Zunahme der osteuropäischen Anbieter</t>
  </si>
  <si>
    <t>Peter Pöllath</t>
  </si>
  <si>
    <t>Herr Ingo Sievers</t>
  </si>
  <si>
    <t>09644 / 689 81 - 260</t>
  </si>
  <si>
    <t>ingo.sievers@atp-autoteile.de</t>
  </si>
  <si>
    <t>Aus-/Vorgebildete, flexible Arbeitskräfte</t>
  </si>
  <si>
    <t>Reinhard Schuhmann</t>
  </si>
  <si>
    <t>Fr. Günthner</t>
  </si>
  <si>
    <t>0961/3902228</t>
  </si>
  <si>
    <t>guenthner@baeko-oberpfalz.de</t>
  </si>
  <si>
    <t>Abwanderung, Standortverlagerungen ins Ausland, Fachkräftemangel</t>
  </si>
  <si>
    <t>wurde nicht angegeben</t>
  </si>
  <si>
    <t>Melanie Schwab</t>
  </si>
  <si>
    <t>sektretariat@bhs-kv.de</t>
  </si>
  <si>
    <t>Bernhard Godelmann</t>
  </si>
  <si>
    <t>Herr Josef Dirrigl</t>
  </si>
  <si>
    <t>09438/940420</t>
  </si>
  <si>
    <t>dirrigl@godelmann.de</t>
  </si>
  <si>
    <t>Peter Wilson, Dieter Schäfer, Michael Wester</t>
  </si>
  <si>
    <t>Stefan Forster</t>
  </si>
  <si>
    <t>09435 391-3440</t>
  </si>
  <si>
    <t>stefan.forster@deutsche-steinzeug.de</t>
  </si>
  <si>
    <t>Servaisstraße</t>
  </si>
  <si>
    <t>53347 Alfter-Witterschlick</t>
  </si>
  <si>
    <t>Rohstoffversorgung; es gibt immer weniger Ton mit guter Qualität in der Region</t>
  </si>
  <si>
    <t>http://www.dorfner.de/de/unternehmen/standort-hischau/index.php</t>
  </si>
  <si>
    <t>Christian Chusch</t>
  </si>
  <si>
    <t>christian.chusch@dorfner.com</t>
  </si>
  <si>
    <t>Roland Eder</t>
  </si>
  <si>
    <t>Herr Roland Eder</t>
  </si>
  <si>
    <t>Roland.Eder@ebert-jacobi-finze.de</t>
  </si>
  <si>
    <t>Ebert + Jacboi GmbH &amp; Co. KG</t>
  </si>
  <si>
    <t>Im Kreuz 4</t>
  </si>
  <si>
    <t>97076 Würburg</t>
  </si>
  <si>
    <t>Amann Reinhard</t>
  </si>
  <si>
    <t>09606-920117</t>
  </si>
  <si>
    <t>amannr@outputweb.de</t>
  </si>
  <si>
    <t>Franz-Josef Einhäupl</t>
  </si>
  <si>
    <t>Hr. Weiß</t>
  </si>
  <si>
    <t>Einhäupl GmbH &amp; Co. KG</t>
  </si>
  <si>
    <t>Industriestr. 7</t>
  </si>
  <si>
    <t>Gregor Ziegler, Matthias Ziegler</t>
  </si>
  <si>
    <t>Matthias Ziegler</t>
  </si>
  <si>
    <t>m.ziegler@ziegler-erden.de</t>
  </si>
  <si>
    <t>steigedne Energiekosten, massive Einschränkungen durch Fahrzeiten</t>
  </si>
  <si>
    <t>Thomas Neumann, Herbert Walterscheid-Müller</t>
  </si>
  <si>
    <t>Christian Hausmann</t>
  </si>
  <si>
    <t>0961/38 158-12</t>
  </si>
  <si>
    <t>christian.hausmann@eurosand.de</t>
  </si>
  <si>
    <t>Pressather Str. 95-97</t>
  </si>
  <si>
    <t>Frachtnebenkosten (Maut, Energiezuschläge)</t>
  </si>
  <si>
    <t>Michael Bleidt, Thierry Bollore, Brendan Drummond</t>
  </si>
  <si>
    <t>Fritz Berger</t>
  </si>
  <si>
    <t>09644 60657</t>
  </si>
  <si>
    <t>fritz.berger@faurecia.com</t>
  </si>
  <si>
    <t>Faurecia Abgastechnik</t>
  </si>
  <si>
    <t>Paul-Leistritz Platz 1</t>
  </si>
  <si>
    <t>92724 Trabitz</t>
  </si>
  <si>
    <t>Reinhard Fuchs und Fritz Huber</t>
  </si>
  <si>
    <t>Herr Haberl</t>
  </si>
  <si>
    <t>09434/950-152</t>
  </si>
  <si>
    <t>andreas.haberl@fischerhaus.de</t>
  </si>
  <si>
    <t>Kostendruck, Fachkräftemangel</t>
  </si>
  <si>
    <t>Franz Wilhelm</t>
  </si>
  <si>
    <t>Forster Roland</t>
  </si>
  <si>
    <t>rolandforster@fwb-neunburg.de</t>
  </si>
  <si>
    <t>Tunnelsanierung in Regensburg. Dadurch entstehen Rückstaus und die Beschickung der Baustellen werden erschwert.</t>
  </si>
  <si>
    <t>Caroline Frey</t>
  </si>
  <si>
    <t>Fr. Popp</t>
  </si>
  <si>
    <t>Frey Centrum</t>
  </si>
  <si>
    <t>Markt 11</t>
  </si>
  <si>
    <t>Harald Griebel</t>
  </si>
  <si>
    <t>Ute Gauer/Thomas Gauer</t>
  </si>
  <si>
    <t>Ute Gauer</t>
  </si>
  <si>
    <t>u.gauer@gesco.biegetechnik.de</t>
  </si>
  <si>
    <t>Uwe Zrenner</t>
  </si>
  <si>
    <t>udo.zrenner@ghost-bikes.de</t>
  </si>
  <si>
    <t>Fritz Gollwitzer</t>
  </si>
  <si>
    <t>Noack Andreas</t>
  </si>
  <si>
    <t>0961/4815016</t>
  </si>
  <si>
    <t>noack@gollsped.de</t>
  </si>
  <si>
    <t>Zweigniederlassung eines Unternehmens/Konzerns</t>
  </si>
  <si>
    <t>Duisburger Str. 130</t>
  </si>
  <si>
    <t>90451 Nürnberg</t>
  </si>
  <si>
    <t>Helmut Müller, Manfred Pretscher, Alois Ponnath</t>
  </si>
  <si>
    <t>Frank Semmler</t>
  </si>
  <si>
    <t>frank.semmler@grammer.com</t>
  </si>
  <si>
    <t>Nähe zum Kunden, Nähe zum Lieferanten</t>
  </si>
  <si>
    <t>Jürgen Burgholz</t>
  </si>
  <si>
    <t>Thomas Reil</t>
  </si>
  <si>
    <t>0961 6704512</t>
  </si>
  <si>
    <t>Treil@greiwing.de</t>
  </si>
  <si>
    <t>Greiwing logistics four you GmbH</t>
  </si>
  <si>
    <t>Carl-Benz-Straße 11-15</t>
  </si>
  <si>
    <t>48268 Greven</t>
  </si>
  <si>
    <t>Herr Herbert Trepte</t>
  </si>
  <si>
    <t>Herbert Trepte</t>
  </si>
  <si>
    <t>09431/7433-18</t>
  </si>
  <si>
    <t>h.trepte@gutre.de</t>
  </si>
  <si>
    <t>Steuern, Spritkosten</t>
  </si>
  <si>
    <t>Hans Dill</t>
  </si>
  <si>
    <t>Max Sollfrank (vorsitzender des Vorstands)</t>
  </si>
  <si>
    <t>Martin Auschner</t>
  </si>
  <si>
    <t>09636-9204128</t>
  </si>
  <si>
    <t>auschner@hornglas.de</t>
  </si>
  <si>
    <t>zu wenige qualifizierte und motivierte Arbeitskräfte in der Logistik und im Fernverkehr</t>
  </si>
  <si>
    <t>Philipp Horsch, Michael Horsch, Horst Keller</t>
  </si>
  <si>
    <t>Philip Horsch</t>
  </si>
  <si>
    <t>p.horsch@horsch.com</t>
  </si>
  <si>
    <t>keine wirklichen Schwierigkeiten</t>
  </si>
  <si>
    <t>Michael Schneider</t>
  </si>
  <si>
    <t>Thomas Lennert</t>
  </si>
  <si>
    <t>Tanja Lennert</t>
  </si>
  <si>
    <t>09672 / 924315</t>
  </si>
  <si>
    <t>tanja.lennert@iks-kuehlung.de</t>
  </si>
  <si>
    <t>die ausländischen Unternehmen, speziell aus dem Osten</t>
  </si>
  <si>
    <t>Dipl.-Ing. Hermann Prölß</t>
  </si>
  <si>
    <t>Hermann Prölß</t>
  </si>
  <si>
    <t>Klaus Friedmann, Thomas Friedmann</t>
  </si>
  <si>
    <t>Hr. Friedmann</t>
  </si>
  <si>
    <t>Abwanderung von Arbeitern und Angestellten</t>
  </si>
  <si>
    <t>Mark Maybaum</t>
  </si>
  <si>
    <t>Herr Harald W. Albert</t>
  </si>
  <si>
    <t>09661 904-135</t>
  </si>
  <si>
    <t>Harald.Albert@janesvilleacoustics.eu</t>
  </si>
  <si>
    <t>Jason GmbH</t>
  </si>
  <si>
    <t>Memelstraße 1</t>
  </si>
  <si>
    <t>Dieselpreisentwicklung</t>
  </si>
  <si>
    <t>Wolfgang Jess (Vors.),  Jürgen Angstmann, Thomas Groß, Stephan Merck, Stefanie Zühlke-Schmidt</t>
  </si>
  <si>
    <t>Bettina Kreger</t>
  </si>
  <si>
    <t>0961/400-1494</t>
  </si>
  <si>
    <t>bettina.kreger@witt-gruppe.eu</t>
  </si>
  <si>
    <t>Mangel an Arbeitskräften/Fachkräften</t>
  </si>
  <si>
    <t>Hr. Legeler, Hr. Sper</t>
  </si>
  <si>
    <t>Pichler, Claus</t>
  </si>
  <si>
    <t>09644/670</t>
  </si>
  <si>
    <t>c.pichler@lippert.de</t>
  </si>
  <si>
    <t>Julius Lippert GmbH &amp; Co KG</t>
  </si>
  <si>
    <t>Böttgerstraße 46</t>
  </si>
  <si>
    <t>92690 Pressath</t>
  </si>
  <si>
    <t>Armin Grohmann</t>
  </si>
  <si>
    <t>Karl Stahl</t>
  </si>
  <si>
    <t>Florian Stahl</t>
  </si>
  <si>
    <t>09605/9225 24</t>
  </si>
  <si>
    <t>florian.stahl@spedition-stahl.com</t>
  </si>
  <si>
    <t>Fr. Stecher-Wandl</t>
  </si>
  <si>
    <t>kk@kerb-konus.de</t>
  </si>
  <si>
    <t>Herr Kronseder</t>
  </si>
  <si>
    <t>Caroline Stuhldreher</t>
  </si>
  <si>
    <t>09401-704478</t>
  </si>
  <si>
    <t>caroline.stuhldreher@krones.com</t>
  </si>
  <si>
    <t>Starke Schwankungen im Logistikmarkt; Steigende Frachtraten und Logistikkosten im Allgemeinen;</t>
  </si>
  <si>
    <t xml:space="preserve">Dipl-Kfm Dr Heiko Neumann </t>
  </si>
  <si>
    <t>Herr Landgraf</t>
  </si>
  <si>
    <t>Leistritz AG Nürnberg</t>
  </si>
  <si>
    <t>Markgrafenstraße 29</t>
  </si>
  <si>
    <t>Grenzen werden wieder aufgebaut</t>
  </si>
  <si>
    <t>Bernhard Schön, Elfriede Schön, Marion Schön</t>
  </si>
  <si>
    <t>Marion Schön</t>
  </si>
  <si>
    <t>09631/605249</t>
  </si>
  <si>
    <t>m.schön@liebensteiner.de</t>
  </si>
  <si>
    <t>steigende Dieselpreise, Maut</t>
  </si>
  <si>
    <t>Michael Schertl</t>
  </si>
  <si>
    <t>Hr. Dirscherl</t>
  </si>
  <si>
    <t>09438 - 94126 - 25</t>
  </si>
  <si>
    <t>roland.dirscherl@loxxess.com</t>
  </si>
  <si>
    <t>Loxxess AG</t>
  </si>
  <si>
    <t>Leebergstr. 4</t>
  </si>
  <si>
    <t>83684 Tegernsee</t>
  </si>
  <si>
    <t>Expansionsfähigkeit</t>
  </si>
  <si>
    <t>Falk Winkelmann</t>
  </si>
  <si>
    <t>Herr Spielvogel</t>
  </si>
  <si>
    <t>ch.spielvogel@kueblboeck.de</t>
  </si>
  <si>
    <t>Spritpreise (2010: 140.000€ allein für Spritkosten), Mautgebühren, ständige änderungen des Emissionsschutzgesetzes und anderer Regeln</t>
  </si>
  <si>
    <t>Scherdelstr. 2</t>
  </si>
  <si>
    <t>95615 Marktredwitz</t>
  </si>
  <si>
    <t>Jürgen W. Ruttmann</t>
  </si>
  <si>
    <t>Gewerbesteuererhöhung, Personalmangel (Technik)</t>
  </si>
  <si>
    <t>René Mühlmeier, Petra Schmidtkonz</t>
  </si>
  <si>
    <t>René Mühlmeier</t>
  </si>
  <si>
    <t>09635/920264</t>
  </si>
  <si>
    <t>rm@muehlmeier.de</t>
  </si>
  <si>
    <t>Straßengebühren (Maut)</t>
  </si>
  <si>
    <t>Markus Biehl, Michael Benedikt</t>
  </si>
  <si>
    <t>Herr Jörg Thalhofer</t>
  </si>
  <si>
    <t>09471/7017-375</t>
  </si>
  <si>
    <t>j.thalhofer@nbg-online.de</t>
  </si>
  <si>
    <t>Actvision Inc. USA</t>
  </si>
  <si>
    <t>keine Gefahren</t>
  </si>
  <si>
    <t>Dr. Wolfgang Scheideler, Andreas Wolf</t>
  </si>
  <si>
    <t>Herr Frank Döhler</t>
  </si>
  <si>
    <t>09603 / 20120</t>
  </si>
  <si>
    <t>fdoehler@autoelectric.de</t>
  </si>
  <si>
    <t xml:space="preserve"> Qualifizierte Arbeitskräfte, Kostenentwicklung, Verschiebung der Produktionsschwerpunkte</t>
  </si>
  <si>
    <t>Andreas Walther</t>
  </si>
  <si>
    <t>0049 (9205) 1230</t>
  </si>
  <si>
    <t>andreas.walther@novem.de</t>
  </si>
  <si>
    <t>Transportkosten, Energiekosten</t>
  </si>
  <si>
    <t>Peter Schwandner</t>
  </si>
  <si>
    <t>Franziska Schreier</t>
  </si>
  <si>
    <t>09606/9231291</t>
  </si>
  <si>
    <t>f.schreier@transost-logistik.com</t>
  </si>
  <si>
    <t>Wirtschaftskrise</t>
  </si>
  <si>
    <t>Dipl.-Ing. Josef Kürner (FH)</t>
  </si>
  <si>
    <t>Josef Kürner</t>
  </si>
  <si>
    <t>09681/188-205</t>
  </si>
  <si>
    <t>info@panzer-shopconcept.de</t>
  </si>
  <si>
    <t>Zweigniederlassung:</t>
  </si>
  <si>
    <t>PP Ladenbau AG</t>
  </si>
  <si>
    <t>rassnt steigende Energiekosten (Diesel)</t>
  </si>
  <si>
    <t>Martin Pröls</t>
  </si>
  <si>
    <t>Maut, Dieselkosten, fehlendes Personal/ Fahrer Angebot</t>
  </si>
  <si>
    <t>Franz Kern</t>
  </si>
  <si>
    <t>Hr. Miederer</t>
  </si>
  <si>
    <t>Sandra Bock</t>
  </si>
  <si>
    <t>Kosten (Diesel, Maut), Fahrermangel</t>
  </si>
  <si>
    <t>Herr Graf</t>
  </si>
  <si>
    <t>Thomas Reiß</t>
  </si>
  <si>
    <t>09622 719773</t>
  </si>
  <si>
    <t>thomas.reiss@s-e-s.info</t>
  </si>
  <si>
    <t>Dieselpreise; zuviel Verkehr!</t>
  </si>
  <si>
    <t>Alfred Koch</t>
  </si>
  <si>
    <t>Thomas Lange</t>
  </si>
  <si>
    <t>09642-18-286</t>
  </si>
  <si>
    <t>thomas.tl.lange@siemens.com</t>
  </si>
  <si>
    <t>Siemens AG</t>
  </si>
  <si>
    <t>Wittelsbacherplatz 2</t>
  </si>
  <si>
    <t>80333 München</t>
  </si>
  <si>
    <t>Materialverknappung, Entwicklung der Spritpreise</t>
  </si>
  <si>
    <t>Albin Schießl</t>
  </si>
  <si>
    <t>09433 / 20 25 90</t>
  </si>
  <si>
    <t>09433 / 20 25 99</t>
  </si>
  <si>
    <t xml:space="preserve">Dieselpreis / Allgemeine Preissteigerung / Fahrermangel / Abwanderung der Industrie </t>
  </si>
  <si>
    <t>Josef Schwarz</t>
  </si>
  <si>
    <t>Regina Schwarz</t>
  </si>
  <si>
    <t>09433/204513</t>
  </si>
  <si>
    <t>regina.schwarz@spedition-schwarz-gmbh.com</t>
  </si>
  <si>
    <t>Logistikdienstleister in nahen Grenzgebieten, Kostendruck durch Wettbewerb v.a. im Stückgutbereich, Dieselpreisentwicklung, Lenk-und Ruhezeiten i.v.m der unzureichenenden Flexibilität der Verlader</t>
  </si>
  <si>
    <t>Norbert Luber</t>
  </si>
  <si>
    <t>Andrea Lindner</t>
  </si>
  <si>
    <t>andrea.lindner@tla-gmbh.de</t>
  </si>
  <si>
    <t>Dumping Preise im Fahrer Segment</t>
  </si>
  <si>
    <t>Konzern: Fichtl Unternehmensgruppe</t>
  </si>
  <si>
    <t>Löhne der Arbeitnehmer</t>
  </si>
  <si>
    <t>Uwe Kratz</t>
  </si>
  <si>
    <t>Fachkräftemangel, mangelnder Ausbau bzw. Anschluss des Verkehrsnetzes</t>
  </si>
  <si>
    <t>Richard Nuber</t>
  </si>
  <si>
    <t>Martin Käsbauer</t>
  </si>
  <si>
    <t>09434 / 203 99-22</t>
  </si>
  <si>
    <t>Mkaesbauer@welco-bruck.de</t>
  </si>
  <si>
    <t>Bernd Wildner</t>
  </si>
  <si>
    <t>Susanne Bergmann</t>
  </si>
  <si>
    <t>Helmut Prieschenk</t>
  </si>
  <si>
    <t>Abteilung Marketing</t>
  </si>
  <si>
    <t>09602/600225</t>
  </si>
  <si>
    <t>marketing@witron.de</t>
  </si>
  <si>
    <t>Thomas Daschner</t>
  </si>
  <si>
    <t>09643 181708</t>
  </si>
  <si>
    <t>Thomas.Daschner@zf.com</t>
  </si>
  <si>
    <t>Outsourcing; steigende Benzinpreise</t>
  </si>
  <si>
    <t>Wilhelm Ziegler, Stefan Ziegler</t>
  </si>
  <si>
    <t>Thomas Wittmann</t>
  </si>
  <si>
    <t>09636/929-30</t>
  </si>
  <si>
    <t>thomas.wittmann@ziegler-holzindustrie.de</t>
  </si>
  <si>
    <t>Dieselpreis, Maut</t>
  </si>
  <si>
    <t>Martin Stangl</t>
  </si>
  <si>
    <t>Alexandra Stangl</t>
  </si>
  <si>
    <t>stangl@buch-stangl.de</t>
  </si>
  <si>
    <t>Dipl.-Kfm. Dietmar Wohlfart, ab 16.06. Hr. Dr. Dr. Thomas Eck</t>
  </si>
  <si>
    <t>Vanessa Paulus</t>
  </si>
  <si>
    <t>0961/87-358</t>
  </si>
  <si>
    <t>vanessa.paulus@constantia-hueck.com</t>
  </si>
  <si>
    <t>Constantia Packaging GmbH</t>
  </si>
  <si>
    <t>Opernring 17</t>
  </si>
  <si>
    <t>1010 Wien</t>
  </si>
  <si>
    <t>Verlust von Service (Ostblockstaaten LKWs), Erhöhung der Maut und Benzinpreise, Wegbruch von ortsansässiger Industrie</t>
  </si>
  <si>
    <t>Herbert Dippl</t>
  </si>
  <si>
    <t>Zu geringe Ladekapazität von Lkws, speziell im tschechischen Grenzgebiet</t>
  </si>
  <si>
    <t>Günther Kötteritzsch</t>
  </si>
  <si>
    <t>Willi Greber</t>
  </si>
  <si>
    <t>0961/203381</t>
  </si>
  <si>
    <t>w.greber@Knorrweiden.de</t>
  </si>
  <si>
    <t>Profi-Einkauf GmbH &amp; Co.KG</t>
  </si>
  <si>
    <t>Ständig steigende Kosten für LKW's (Reparaturen, Diesel, Maut usw.), Fahrengpässe durch neues BKFQg.</t>
  </si>
  <si>
    <t>09653/1642, 0171/1268647</t>
  </si>
  <si>
    <t>Johannes Kleber, Burkhard Kleber</t>
  </si>
  <si>
    <t>Johannes Kleber</t>
  </si>
  <si>
    <t>0171 / 1268647</t>
  </si>
  <si>
    <t>Preisdruck aus Osteuropa im Fernverkehr</t>
  </si>
  <si>
    <t>Dr.-Ing. Bernd Welzel, Dipl.-Kfm. Roland Borst, Dipl.-Ing. Harald Keller, Dipl.-Ing. Gerhard Linsenmeier</t>
  </si>
  <si>
    <t>Corinna Eberl</t>
  </si>
  <si>
    <t>09431/7496-82</t>
  </si>
  <si>
    <t>corinna.eberl@fehrer.com</t>
  </si>
  <si>
    <t>Heinrich-Fehrer-Straße 1-3</t>
  </si>
  <si>
    <t>Gerhard Bodner</t>
  </si>
  <si>
    <t>Martin Bodner</t>
  </si>
  <si>
    <t>Johann Klug, Roman Sorgenfrei</t>
  </si>
  <si>
    <t>Andrea Wohlfarth</t>
  </si>
  <si>
    <t>09671 9216-340</t>
  </si>
  <si>
    <t>andrea.wohlfarth@klug-is.de</t>
  </si>
  <si>
    <t>Petra Betz</t>
  </si>
  <si>
    <t>Andreas Lehnert</t>
  </si>
  <si>
    <t>09431/7435-12</t>
  </si>
  <si>
    <t>lehnert@stahl-lasertechnik.de</t>
  </si>
  <si>
    <t>Unflexibilität, Frachtkosten</t>
  </si>
  <si>
    <t>H. Scheidler</t>
  </si>
  <si>
    <t>0961/67001147</t>
  </si>
  <si>
    <t>Fehlen von qualifizierten Kraftfahrern; zu wenig Aufträge in unserer Region, daher viel auswärtige Arbeit.</t>
  </si>
  <si>
    <t>Dr. Michael Kern, CEO</t>
  </si>
  <si>
    <t>Silvia Bock</t>
  </si>
  <si>
    <t>0961/306-5303</t>
  </si>
  <si>
    <t>silvia.bock@de.atu.eu</t>
  </si>
  <si>
    <t>Keine</t>
  </si>
  <si>
    <t>H. Borner, Ingolstadt</t>
  </si>
  <si>
    <t>0961/20822</t>
  </si>
  <si>
    <t>herlmut.viendl@Ghoffmann-Nbg.de</t>
  </si>
  <si>
    <t>Forster Josef</t>
  </si>
  <si>
    <t>09433/899236</t>
  </si>
  <si>
    <t>josef.forster@kennametal.com</t>
  </si>
  <si>
    <t>Erich Sennebogen, Walter Sennebogen</t>
  </si>
  <si>
    <t>Hentschel Rainer</t>
  </si>
  <si>
    <t>09431/634-270</t>
  </si>
  <si>
    <t>rainer.hentschel@sennebogen.de</t>
  </si>
  <si>
    <t>Sennebogen Maschninenfabrik GmbH</t>
  </si>
  <si>
    <t>Hebbelstr. 30</t>
  </si>
  <si>
    <t>Frau Andrea Birner</t>
  </si>
  <si>
    <t>Josef Schneider</t>
  </si>
  <si>
    <t>09624 / 9218 - 30</t>
  </si>
  <si>
    <t>j.schneider@birner-logistik.de</t>
  </si>
  <si>
    <t>Die Aussichten sind ganz gut</t>
  </si>
  <si>
    <t>Richard Meyer</t>
  </si>
  <si>
    <t>Siegfried Schmid</t>
  </si>
  <si>
    <t>09434 / 201 - 140</t>
  </si>
  <si>
    <t>sschmid@ZBGM.de</t>
  </si>
  <si>
    <t>zu später Ressourcenausbau im eigenen Haus</t>
  </si>
  <si>
    <t>Markus Lindner</t>
  </si>
  <si>
    <t>markus.lindner@hauer-mineraloele.de</t>
  </si>
  <si>
    <t>Kostensteigerung bei Personal und Fahrzeugen</t>
  </si>
  <si>
    <t>Reinhold Barsch, Dr. Stefan Klumpp</t>
  </si>
  <si>
    <t>Harald Prölß</t>
  </si>
  <si>
    <t>09631/80-205</t>
  </si>
  <si>
    <t>Harald.Proelss@hamm.eu</t>
  </si>
  <si>
    <t>Kraftstoffkosten, Maut</t>
  </si>
  <si>
    <t>Andreas Landkammer</t>
  </si>
  <si>
    <t>09672 / 924230</t>
  </si>
  <si>
    <t>Bemondis GmbH</t>
  </si>
  <si>
    <t>Böhmerstr. 55</t>
  </si>
  <si>
    <t>Verkehrsanbindung, Fachkräftemangel</t>
  </si>
  <si>
    <t>11111*</t>
  </si>
  <si>
    <t>Wz 26</t>
  </si>
  <si>
    <t>WZ47</t>
  </si>
  <si>
    <t>beschäftigt waren</t>
  </si>
  <si>
    <t>Mitarbeiter die in den Unternehmen, an diesem Standort, am Ende des letzten Jahres</t>
  </si>
  <si>
    <t>5 Jahren</t>
  </si>
  <si>
    <t>Firmennummer, Branche, Wirtschaftszweig, Kernkompetenz, Gesamtumsatz, Mitarbeiter, Arbeitsplätze Logistik, Interesse an Logistikzentrum</t>
  </si>
  <si>
    <t xml:space="preserve"> </t>
  </si>
  <si>
    <t xml:space="preserve">    </t>
  </si>
  <si>
    <t>Staatlich</t>
  </si>
  <si>
    <t>Firmen der Region</t>
  </si>
  <si>
    <t>Welche Informations- und Kommunikationssysteme in Unternehmen verwendet werden oder zur Verfügung stehen:</t>
  </si>
  <si>
    <t>Welche Transporte fallen bei den Unternehmen an:</t>
  </si>
  <si>
    <t>Wichtige Kriterien für Beibehaltung bzw. Ansiedelung von Unternehmen mit relevanter Logistik in der Region:</t>
  </si>
  <si>
    <t>Teilnahme am Know How des Dienstleisters</t>
  </si>
  <si>
    <t>Falls sie bereits einen Dienstleister beauftragt haben</t>
  </si>
  <si>
    <t>Betriebsvereinbarung</t>
  </si>
  <si>
    <t>Planen Sie logistische  Dienstleistungen an Dritte anzubieten</t>
  </si>
  <si>
    <t>Ja wir erbringen logistische Dienstleistungen</t>
  </si>
  <si>
    <t>Welche Art einer Zusammenarbeit mit anderen Unternehmen auf der Logistikebene betreiben Sie oder planen Sie:</t>
  </si>
  <si>
    <t>Welche der folgenden Informations- und Kommunikationssysteme werden in Ihrem Unternehmen verwendet bzw. stehen ihnen zur Verfügung:</t>
  </si>
  <si>
    <t>Wäre eins der aufgeführten logistischen Zentren in der Region für Ihren Standort interessant:</t>
  </si>
  <si>
    <t>Haben Sie vor, in den nächsten Jahren im Bereich Logistik am Standort oder in der Region zu expandieren:</t>
  </si>
  <si>
    <t>Werden Sie im Rahmen der Expansion neue Mitarbeiter einstellen?</t>
  </si>
  <si>
    <t>Was ist Ihrer Ansicht nach ein wichtiges Kriterium für die Beibehaltung bzw. Ansiedlung eines Unternehmens mit relevanter Logistik in der Region:</t>
  </si>
  <si>
    <t>Selbstständiger Standort eines Unternehmens</t>
  </si>
  <si>
    <t>Mitarbeiter die in dem Unternehmen, an diesem Standort, am Ende des letzten Jahres</t>
  </si>
  <si>
    <t>Welche Transporte fallen  an:</t>
  </si>
  <si>
    <t>Kann die Art des Transportes z.B. Bahn oder LKW direkt beeinflusst werden:</t>
  </si>
  <si>
    <t>Könnten Sie sich vorstellen, zukünftig häufiger die Bahn (auch Privatbahnen) für Ihren Warentransport einzusetzen:</t>
  </si>
  <si>
    <t>Naher Frachtbahnhof (Entfernung &lt; 50 km)</t>
  </si>
  <si>
    <t>Recticel Autombilsysteme GmbH</t>
  </si>
  <si>
    <t>Oskar - von - Miller - Str. 31</t>
  </si>
  <si>
    <t>09431 / 7495 - 0</t>
  </si>
  <si>
    <t>09431 / 7495 - 30</t>
  </si>
  <si>
    <t>sattler.heidi@recticel.com</t>
  </si>
  <si>
    <t>www.recticel.com</t>
  </si>
  <si>
    <t>Frau Heide Sattler</t>
  </si>
  <si>
    <t>09431 / 7495 - 13</t>
  </si>
  <si>
    <t>RECTICEL steht für Polyurethan - Anwendungen. Die Entwicklung, Herstellung und Vermarktung von innovativen Produkt-Systemen aus Kunststoff für die Innenausstattung des Automobils - wie</t>
  </si>
  <si>
    <t>RECTICEL Automotive</t>
  </si>
  <si>
    <t>Rolandsecker Weg 30</t>
  </si>
  <si>
    <t>Arbeitskräftemangel</t>
  </si>
  <si>
    <t>#NV</t>
  </si>
  <si>
    <r>
      <rPr>
        <sz val="12"/>
        <color theme="1"/>
        <rFont val="Calibri"/>
        <family val="2"/>
        <scheme val="minor"/>
      </rPr>
      <t xml:space="preserve">Wz </t>
    </r>
    <r>
      <rPr>
        <sz val="12"/>
        <color theme="1"/>
        <rFont val="Calibri"/>
        <family val="2"/>
        <scheme val="minor"/>
      </rPr>
      <t>27</t>
    </r>
  </si>
  <si>
    <t>Maxhütte Technologie Gmbh &amp; Co. KG</t>
  </si>
  <si>
    <t>Erzhausstr 1</t>
  </si>
  <si>
    <t>Sulzbach- Rosenberg</t>
  </si>
  <si>
    <t>09661/60-0</t>
  </si>
  <si>
    <t>09661/60801</t>
  </si>
  <si>
    <t>mail@maxhuette-technologie.de</t>
  </si>
  <si>
    <t>http://www.maxhuette-technologie.de/</t>
  </si>
  <si>
    <t>Max Aicher, Karl Reyzl</t>
  </si>
  <si>
    <t>Herr Haberberger</t>
  </si>
  <si>
    <t>09661/60-303</t>
  </si>
  <si>
    <t>2 mbit</t>
  </si>
  <si>
    <t>BMW AG</t>
  </si>
  <si>
    <t>Oskar-von-Miller-Straße 21</t>
  </si>
  <si>
    <t>Waclersdorf</t>
  </si>
  <si>
    <t>www.bmw-werk-wackersdorf.de</t>
  </si>
  <si>
    <t>Petuelring 130</t>
  </si>
  <si>
    <t>Lichtwerbung Greiner jun.</t>
  </si>
  <si>
    <t>Dr.-Kleber-Str. 2-2a</t>
  </si>
  <si>
    <t>09606 / 9215- 0</t>
  </si>
  <si>
    <t>info@lichtwerbung-greiner.de</t>
  </si>
  <si>
    <t>www.lichtwerbung-greiner.de</t>
  </si>
  <si>
    <t>Irmgard Greiner-Manner, Wolfgang Bauer</t>
  </si>
  <si>
    <t>Fr. Greiner - Manner</t>
  </si>
  <si>
    <t>09606 / 9215 - 0</t>
  </si>
  <si>
    <t>i.greiner@lichtwerbung-greiner.de</t>
  </si>
  <si>
    <t>Herstellung, Vertrieb von Werbeanlagen ( Lichttransparente, Leuchtbuchstaben, Pylonanlagen, Pylonwerbetürme</t>
  </si>
  <si>
    <t>Hrkal a Greiner</t>
  </si>
  <si>
    <t>Slavikova 101</t>
  </si>
  <si>
    <t>Fachpersonal</t>
  </si>
  <si>
    <t>22.07.</t>
  </si>
  <si>
    <t>25.07.</t>
  </si>
  <si>
    <r>
      <rPr>
        <sz val="12"/>
        <color theme="1"/>
        <rFont val="Calibri"/>
        <family val="2"/>
        <scheme val="minor"/>
      </rPr>
      <t xml:space="preserve">WZ </t>
    </r>
    <r>
      <rPr>
        <sz val="12"/>
        <color theme="1"/>
        <rFont val="Calibri"/>
        <family val="2"/>
        <scheme val="minor"/>
      </rPr>
      <t>25</t>
    </r>
  </si>
  <si>
    <t>Logistisches Zentrum WÄRE interessant</t>
  </si>
  <si>
    <t>Arbeitsplätzer Logistik: 10% - 20%</t>
  </si>
  <si>
    <t>Arbeitsplätzer Logistik: 20% - 30%</t>
  </si>
  <si>
    <t>Arbeitsplätzer Logistik: 30% - 50%</t>
  </si>
  <si>
    <t>Arbeitsplätzer Logistik: 50% - 75%</t>
  </si>
  <si>
    <t>Arbeitsplätzer Logistik: 75% - 100%</t>
  </si>
  <si>
    <t>selbständig</t>
  </si>
  <si>
    <t>Planen logistische  Dienstleistung an Dritte</t>
  </si>
  <si>
    <t>Nein, kein Interesse!</t>
  </si>
  <si>
    <t>Nein, hat sich bisher noch nicht gelohnt!</t>
  </si>
  <si>
    <t>Ja, wir erbringen logistische Dienstleistung!</t>
  </si>
  <si>
    <t>Ja, im Raum Weiden.</t>
  </si>
  <si>
    <t>Ja, in Tschechien.</t>
  </si>
  <si>
    <t>Ja, in anderen Gegenden.</t>
  </si>
  <si>
    <t>Arbeitskräfte: motiviert &amp; standorttreu</t>
  </si>
  <si>
    <t>Arbeitskräfte: verfügbar</t>
  </si>
  <si>
    <t>Arbeitskräfte: Gehaltsstruktur</t>
  </si>
  <si>
    <t xml:space="preserve">Verkehrsnetz: Autobahn/Bundesstraße </t>
  </si>
  <si>
    <t>Verkehrsnetz: Bahn</t>
  </si>
  <si>
    <t>In welchem Zeithorizont ist dies geplant?</t>
  </si>
  <si>
    <t xml:space="preserve"> motiviert &amp; standorttreu</t>
  </si>
  <si>
    <t xml:space="preserve"> verfügbar</t>
  </si>
  <si>
    <t>Ja, im Raum Weiden</t>
  </si>
  <si>
    <t>Ja, in Tschechien</t>
  </si>
  <si>
    <t>Ja, in anderen Gegenden</t>
  </si>
  <si>
    <t>GVZ - logistischer Knoten mit Anbindung verschiedener Verkehrsträger</t>
  </si>
  <si>
    <t xml:space="preserve"> Motiviert &amp; standorttreu</t>
  </si>
  <si>
    <t>Ambros Schmelzer u. Sohn GmbH u. Co.KG</t>
  </si>
  <si>
    <t>Maxhütte Technologie GmbH &amp; Co. KG</t>
  </si>
  <si>
    <t>www.horsch.com</t>
  </si>
  <si>
    <t>www.frey-centrum.de</t>
  </si>
  <si>
    <t>www.outputweb.de</t>
  </si>
  <si>
    <t>www.dorfner.de</t>
  </si>
  <si>
    <t>www.gesco-biegetechnik.de</t>
  </si>
  <si>
    <t>www.constantia-hueck.com/</t>
  </si>
  <si>
    <t>www.buch-stangl.de/</t>
  </si>
  <si>
    <t>www.maxhuette-technologie.de/</t>
  </si>
  <si>
    <t>096 06-92 01 917</t>
  </si>
  <si>
    <t>09205-18-0</t>
  </si>
  <si>
    <t>09621-661000</t>
  </si>
  <si>
    <t>09431-74630</t>
  </si>
  <si>
    <t>09431-746320</t>
  </si>
  <si>
    <t>09231-5080</t>
  </si>
  <si>
    <t>09231-61300</t>
  </si>
  <si>
    <t>09431-41364</t>
  </si>
  <si>
    <t>09653-92900</t>
  </si>
  <si>
    <t>09653-929042</t>
  </si>
  <si>
    <t>09671-922089</t>
  </si>
  <si>
    <t>0961-37916</t>
  </si>
  <si>
    <t>09438-940470</t>
  </si>
  <si>
    <t>09435-3913411</t>
  </si>
  <si>
    <t>09602-82-69</t>
  </si>
  <si>
    <t>09606-1374</t>
  </si>
  <si>
    <t>0961-67015 - 49</t>
  </si>
  <si>
    <t>09636-9202-40</t>
  </si>
  <si>
    <t>0961-38 158-20</t>
  </si>
  <si>
    <t>09644-60680</t>
  </si>
  <si>
    <t>09434-950101</t>
  </si>
  <si>
    <t>09672-3976</t>
  </si>
  <si>
    <t>09622-82206</t>
  </si>
  <si>
    <t>09632-9255-16</t>
  </si>
  <si>
    <t>0961-4815034</t>
  </si>
  <si>
    <t>0961-6704523</t>
  </si>
  <si>
    <t>09431-7433-23</t>
  </si>
  <si>
    <t>09672-24322</t>
  </si>
  <si>
    <t>09607-9203-90</t>
  </si>
  <si>
    <t>0961-6008 - 28</t>
  </si>
  <si>
    <t>09661-904-143</t>
  </si>
  <si>
    <t>0961-4001138</t>
  </si>
  <si>
    <t>09659-930099</t>
  </si>
  <si>
    <t>0964-48119</t>
  </si>
  <si>
    <t>09605-922519</t>
  </si>
  <si>
    <t>09622-2050</t>
  </si>
  <si>
    <t>09654-8912</t>
  </si>
  <si>
    <t>09631-5338</t>
  </si>
  <si>
    <t>09471-900550</t>
  </si>
  <si>
    <t>096221-8582</t>
  </si>
  <si>
    <t>09635-920268</t>
  </si>
  <si>
    <t>09471-7017180</t>
  </si>
  <si>
    <t>09603-2715</t>
  </si>
  <si>
    <t>09681-188-299</t>
  </si>
  <si>
    <t>09662-411414</t>
  </si>
  <si>
    <t>0961-634683-29</t>
  </si>
  <si>
    <t>09654-91160</t>
  </si>
  <si>
    <t>09622-719777</t>
  </si>
  <si>
    <t>09433-202599</t>
  </si>
  <si>
    <t>09433-204520</t>
  </si>
  <si>
    <t>09628-920620</t>
  </si>
  <si>
    <t>09431-529162</t>
  </si>
  <si>
    <t>09671-9212 - 70</t>
  </si>
  <si>
    <t>09434-203 99-950</t>
  </si>
  <si>
    <t>09602-600211</t>
  </si>
  <si>
    <t>09636-1361</t>
  </si>
  <si>
    <t>0961-48 22 0 22</t>
  </si>
  <si>
    <t>0961-87 235</t>
  </si>
  <si>
    <t>09653-1717</t>
  </si>
  <si>
    <t>0961-28844</t>
  </si>
  <si>
    <t>09653-91113</t>
  </si>
  <si>
    <t>09431-7496-70</t>
  </si>
  <si>
    <t>09653-92934-90</t>
  </si>
  <si>
    <t>09671-9216-12</t>
  </si>
  <si>
    <t>09431-7424-42</t>
  </si>
  <si>
    <t>0961-67001149</t>
  </si>
  <si>
    <t>0961- 306-5672</t>
  </si>
  <si>
    <t>0961-20820</t>
  </si>
  <si>
    <t>09433-6556</t>
  </si>
  <si>
    <t>09431-634-102</t>
  </si>
  <si>
    <t>09624-9218 - 22</t>
  </si>
  <si>
    <t>09672-3826</t>
  </si>
  <si>
    <t>09434-201 - 350</t>
  </si>
  <si>
    <t>0961-61750</t>
  </si>
  <si>
    <t>09631-80-111</t>
  </si>
  <si>
    <t>09431-7495 - 30</t>
  </si>
  <si>
    <t>09661-60801</t>
  </si>
  <si>
    <t>09671-92200</t>
  </si>
  <si>
    <t>09647-92903 0</t>
  </si>
  <si>
    <t>0961-390220</t>
  </si>
  <si>
    <t>09438-94040</t>
  </si>
  <si>
    <t>09435-3910</t>
  </si>
  <si>
    <t>09622-820</t>
  </si>
  <si>
    <t>09606-92030</t>
  </si>
  <si>
    <t>09606-92 01 50</t>
  </si>
  <si>
    <t>0961-67015 - 0</t>
  </si>
  <si>
    <t>09636-9202-0</t>
  </si>
  <si>
    <t>0961-38 158-0</t>
  </si>
  <si>
    <t>09644-600</t>
  </si>
  <si>
    <t>09434-9500</t>
  </si>
  <si>
    <t>09672-1310</t>
  </si>
  <si>
    <t>09632-9255-0</t>
  </si>
  <si>
    <t>0961-481500</t>
  </si>
  <si>
    <t>09621-660</t>
  </si>
  <si>
    <t>0961-670450</t>
  </si>
  <si>
    <t>09431-7433-0</t>
  </si>
  <si>
    <t>09672-92430</t>
  </si>
  <si>
    <t>09607-92030</t>
  </si>
  <si>
    <t>0961-6008 - 0</t>
  </si>
  <si>
    <t>09661-904-0</t>
  </si>
  <si>
    <t>0961-400-0</t>
  </si>
  <si>
    <t>09694-4670</t>
  </si>
  <si>
    <t>09659-93000</t>
  </si>
  <si>
    <t>09605-92250</t>
  </si>
  <si>
    <t>09622-200</t>
  </si>
  <si>
    <t>09654-890</t>
  </si>
  <si>
    <t>09631-6050</t>
  </si>
  <si>
    <t>09438-94126-10</t>
  </si>
  <si>
    <t>09471-9000</t>
  </si>
  <si>
    <t>96221-8214</t>
  </si>
  <si>
    <t>09635-92020</t>
  </si>
  <si>
    <t>09471-70170</t>
  </si>
  <si>
    <t>09603-200</t>
  </si>
  <si>
    <t>09606-92190</t>
  </si>
  <si>
    <t>09682-188-0</t>
  </si>
  <si>
    <t>09662-41140</t>
  </si>
  <si>
    <t>0961-634683-0</t>
  </si>
  <si>
    <t>09654-91140</t>
  </si>
  <si>
    <t>09622-71976</t>
  </si>
  <si>
    <t>09433-202590</t>
  </si>
  <si>
    <t>09433-20450</t>
  </si>
  <si>
    <t>09628-92060</t>
  </si>
  <si>
    <t>09441-686317</t>
  </si>
  <si>
    <t>09671-9212 - 0</t>
  </si>
  <si>
    <t>09434-203 99-0</t>
  </si>
  <si>
    <t>09602-60000</t>
  </si>
  <si>
    <t>09643-180</t>
  </si>
  <si>
    <t>09636-9209-0</t>
  </si>
  <si>
    <t>0961-48 22 00</t>
  </si>
  <si>
    <t>0961-87 0</t>
  </si>
  <si>
    <t>09653-1715</t>
  </si>
  <si>
    <t>0961-2030</t>
  </si>
  <si>
    <t>09653-1642</t>
  </si>
  <si>
    <t>09431-7496-0</t>
  </si>
  <si>
    <t>09653-92934-11</t>
  </si>
  <si>
    <t>09671-9216-0</t>
  </si>
  <si>
    <t>09431-7435-0</t>
  </si>
  <si>
    <t>0961-670010</t>
  </si>
  <si>
    <t>0961-2080</t>
  </si>
  <si>
    <t>09433-8990</t>
  </si>
  <si>
    <t>09431-634-0</t>
  </si>
  <si>
    <t>09624-9218 - 0</t>
  </si>
  <si>
    <t>09672-46 - 0</t>
  </si>
  <si>
    <t>09434-201 - 0</t>
  </si>
  <si>
    <t>0961-63494-0</t>
  </si>
  <si>
    <t>09631-80-0</t>
  </si>
  <si>
    <t>09672-92423</t>
  </si>
  <si>
    <t>09431-7495 - 0</t>
  </si>
  <si>
    <t>09661-60-0</t>
  </si>
  <si>
    <t>09606-9215- 0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</si>
</sst>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38"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22"/>
      <color theme="1"/>
      <name val="Calibri"/>
      <family val="2"/>
      <scheme val="minor"/>
    </font>
    <font>
      <sz val="11"/>
      <name val="Calibri"/>
      <family val="2"/>
      <scheme val="minor"/>
    </font>
    <font>
      <b/>
      <sz val="11"/>
      <name val="Calibri"/>
      <family val="2"/>
      <scheme val="minor"/>
    </font>
    <font>
      <sz val="11"/>
      <color theme="0"/>
      <name val="Calibri"/>
      <family val="2"/>
      <scheme val="minor"/>
    </font>
    <font>
      <sz val="12"/>
      <color theme="1"/>
      <name val="Calibri"/>
      <family val="2"/>
      <scheme val="minor"/>
    </font>
    <font>
      <sz val="11"/>
      <color rgb="FF000000"/>
      <name val="Calibri"/>
      <family val="2"/>
      <scheme val="minor"/>
    </font>
    <font>
      <b/>
      <sz val="12"/>
      <color theme="1"/>
      <name val="Calibri"/>
      <family val="2"/>
      <scheme val="minor"/>
    </font>
    <font>
      <b/>
      <sz val="24"/>
      <color theme="1"/>
      <name val="Calibri"/>
      <family val="2"/>
      <scheme val="minor"/>
    </font>
    <font>
      <i/>
      <sz val="11"/>
      <color theme="8" tint="-0.499984740745262"/>
      <name val="Calibri"/>
      <family val="2"/>
      <scheme val="minor"/>
    </font>
    <font>
      <sz val="11"/>
      <color theme="8" tint="-0.499984740745262"/>
      <name val="Calibri"/>
      <family val="2"/>
      <scheme val="minor"/>
    </font>
    <font>
      <sz val="11"/>
      <color theme="2" tint="-9.9978637043366805E-2"/>
      <name val="Calibri"/>
      <family val="2"/>
      <scheme val="minor"/>
    </font>
    <font>
      <b/>
      <sz val="11"/>
      <color theme="8" tint="-0.499984740745262"/>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2"/>
      <color rgb="FF000000"/>
      <name val="Calibri"/>
      <family val="2"/>
      <scheme val="minor"/>
    </font>
    <font>
      <b/>
      <sz val="18"/>
      <color theme="9" tint="-0.249977111117893"/>
      <name val="Calibri"/>
      <family val="2"/>
      <scheme val="minor"/>
    </font>
    <font>
      <b/>
      <u/>
      <sz val="18"/>
      <color theme="9" tint="-0.249977111117893"/>
      <name val="Calibri"/>
      <family val="2"/>
      <scheme val="minor"/>
    </font>
    <font>
      <sz val="11"/>
      <color theme="9" tint="-0.249977111117893"/>
      <name val="Calibri"/>
      <family val="2"/>
      <scheme val="minor"/>
    </font>
    <font>
      <u/>
      <sz val="11"/>
      <color theme="1"/>
      <name val="Calibri"/>
      <family val="2"/>
      <scheme val="minor"/>
    </font>
    <font>
      <b/>
      <sz val="22"/>
      <color theme="1" tint="0.249977111117893"/>
      <name val="Calibri"/>
      <family val="2"/>
      <scheme val="minor"/>
    </font>
    <font>
      <i/>
      <sz val="11"/>
      <color theme="3" tint="0.39997558519241921"/>
      <name val="Calibri"/>
      <family val="2"/>
      <scheme val="minor"/>
    </font>
    <font>
      <i/>
      <sz val="11"/>
      <color theme="2" tint="-9.9978637043366805E-2"/>
      <name val="Calibri"/>
      <family val="2"/>
      <scheme val="minor"/>
    </font>
    <font>
      <i/>
      <sz val="11"/>
      <color rgb="FFFF0000"/>
      <name val="Calibri"/>
      <family val="2"/>
      <scheme val="minor"/>
    </font>
    <font>
      <b/>
      <sz val="20"/>
      <color theme="1"/>
      <name val="Calibri"/>
      <family val="2"/>
      <scheme val="minor"/>
    </font>
    <font>
      <b/>
      <sz val="16"/>
      <color theme="1"/>
      <name val="Calibri"/>
      <family val="2"/>
      <scheme val="minor"/>
    </font>
    <font>
      <b/>
      <sz val="18"/>
      <color theme="1"/>
      <name val="Calibri"/>
      <family val="2"/>
      <scheme val="minor"/>
    </font>
    <font>
      <i/>
      <sz val="11"/>
      <name val="Calibri"/>
      <family val="2"/>
      <scheme val="minor"/>
    </font>
    <font>
      <sz val="8"/>
      <color rgb="FF000000"/>
      <name val="Tahoma"/>
      <family val="2"/>
    </font>
    <font>
      <sz val="16"/>
      <color theme="1"/>
      <name val="Calibri"/>
      <family val="2"/>
      <scheme val="minor"/>
    </font>
    <font>
      <i/>
      <sz val="11"/>
      <color theme="1"/>
      <name val="Calibri"/>
      <family val="2"/>
      <scheme val="minor"/>
    </font>
  </fonts>
  <fills count="9">
    <fill>
      <patternFill patternType="none"/>
    </fill>
    <fill>
      <patternFill patternType="gray125"/>
    </fill>
    <fill>
      <patternFill patternType="solid">
        <fgColor theme="2" tint="-9.9978637043366805E-2"/>
        <bgColor indexed="64"/>
      </patternFill>
    </fill>
    <fill>
      <patternFill patternType="solid">
        <fgColor rgb="FF92D050"/>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theme="2" tint="-0.499984740745262"/>
        <bgColor indexed="64"/>
      </patternFill>
    </fill>
  </fills>
  <borders count="12">
    <border>
      <left/>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21">
    <xf numFmtId="0" fontId="0" fillId="0" borderId="0"/>
    <xf numFmtId="0" fontId="11"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170">
    <xf numFmtId="0" fontId="0" fillId="0" borderId="0" xfId="0"/>
    <xf numFmtId="0" fontId="0" fillId="3" borderId="0" xfId="0" applyFill="1"/>
    <xf numFmtId="0" fontId="0" fillId="2" borderId="0" xfId="0" applyFill="1"/>
    <xf numFmtId="0" fontId="6" fillId="2" borderId="0" xfId="0" applyFont="1" applyFill="1"/>
    <xf numFmtId="0" fontId="0" fillId="2" borderId="0" xfId="0" applyFont="1" applyFill="1"/>
    <xf numFmtId="0" fontId="0" fillId="2" borderId="0" xfId="0" applyFill="1" applyAlignment="1"/>
    <xf numFmtId="0" fontId="0" fillId="2" borderId="0" xfId="0" applyFill="1" applyAlignment="1">
      <alignment horizontal="center"/>
    </xf>
    <xf numFmtId="0" fontId="7" fillId="2" borderId="0" xfId="0" applyFont="1" applyFill="1" applyAlignment="1">
      <alignment horizontal="center" wrapText="1"/>
    </xf>
    <xf numFmtId="0" fontId="6" fillId="2" borderId="0" xfId="0" applyFont="1" applyFill="1" applyAlignment="1">
      <alignment wrapText="1"/>
    </xf>
    <xf numFmtId="0" fontId="0" fillId="2" borderId="0" xfId="0" applyFill="1" applyAlignment="1">
      <alignment wrapText="1"/>
    </xf>
    <xf numFmtId="49" fontId="0" fillId="2" borderId="0" xfId="0" applyNumberFormat="1" applyFill="1"/>
    <xf numFmtId="0" fontId="0" fillId="2" borderId="0" xfId="0" applyFill="1"/>
    <xf numFmtId="9" fontId="0" fillId="2" borderId="0" xfId="0" applyNumberFormat="1" applyFill="1"/>
    <xf numFmtId="0" fontId="0" fillId="2" borderId="0" xfId="0" applyFill="1" applyAlignment="1">
      <alignment vertical="center"/>
    </xf>
    <xf numFmtId="0" fontId="0" fillId="2" borderId="0" xfId="0" applyFill="1" applyAlignment="1">
      <alignment vertical="center" wrapText="1"/>
    </xf>
    <xf numFmtId="0" fontId="0" fillId="2" borderId="0" xfId="0" applyFill="1"/>
    <xf numFmtId="0" fontId="0" fillId="2" borderId="0" xfId="0" applyFill="1"/>
    <xf numFmtId="0" fontId="6" fillId="2" borderId="0" xfId="0" applyFont="1" applyFill="1" applyAlignment="1"/>
    <xf numFmtId="0" fontId="6" fillId="2" borderId="0" xfId="0" applyFont="1" applyFill="1" applyAlignment="1">
      <alignment vertical="center"/>
    </xf>
    <xf numFmtId="0" fontId="6" fillId="3" borderId="0" xfId="0" applyFont="1" applyFill="1"/>
    <xf numFmtId="0" fontId="0" fillId="2" borderId="0" xfId="0" applyFill="1"/>
    <xf numFmtId="0" fontId="0" fillId="2" borderId="0" xfId="0" applyFill="1"/>
    <xf numFmtId="0" fontId="0" fillId="2" borderId="0" xfId="0" applyFill="1"/>
    <xf numFmtId="0" fontId="0" fillId="2" borderId="0" xfId="0" applyFill="1" applyAlignment="1">
      <alignment horizontal="left"/>
    </xf>
    <xf numFmtId="0" fontId="0" fillId="2" borderId="0" xfId="0" applyFill="1" applyAlignment="1">
      <alignment horizontal="left" indent="2"/>
    </xf>
    <xf numFmtId="0" fontId="0" fillId="2" borderId="0" xfId="0" applyFill="1"/>
    <xf numFmtId="0" fontId="0" fillId="2" borderId="0" xfId="0" applyFill="1" applyAlignment="1">
      <alignment horizontal="left" indent="5"/>
    </xf>
    <xf numFmtId="0" fontId="0" fillId="2" borderId="0" xfId="0" applyFill="1"/>
    <xf numFmtId="0" fontId="0" fillId="2" borderId="0" xfId="0" applyFill="1"/>
    <xf numFmtId="0" fontId="5" fillId="2" borderId="0" xfId="0" applyFont="1" applyFill="1"/>
    <xf numFmtId="0" fontId="0" fillId="2" borderId="0" xfId="0" applyFill="1"/>
    <xf numFmtId="0" fontId="0" fillId="2" borderId="0" xfId="0" applyFill="1" applyAlignment="1">
      <alignment horizontal="left"/>
    </xf>
    <xf numFmtId="0" fontId="0" fillId="2" borderId="0" xfId="0" applyFill="1" applyAlignment="1">
      <alignment horizontal="center" vertical="center"/>
    </xf>
    <xf numFmtId="0" fontId="6" fillId="3" borderId="0" xfId="0" applyFont="1" applyFill="1" applyAlignment="1">
      <alignment wrapText="1"/>
    </xf>
    <xf numFmtId="0" fontId="6" fillId="3" borderId="0" xfId="0" applyFont="1" applyFill="1" applyAlignment="1">
      <alignment vertical="center"/>
    </xf>
    <xf numFmtId="0" fontId="0" fillId="2" borderId="0" xfId="0" applyFill="1" applyAlignment="1">
      <alignment horizontal="left" indent="1"/>
    </xf>
    <xf numFmtId="49" fontId="0" fillId="2" borderId="0" xfId="0" applyNumberFormat="1" applyFill="1" applyAlignment="1">
      <alignment horizontal="left"/>
    </xf>
    <xf numFmtId="0" fontId="11" fillId="0" borderId="0" xfId="1"/>
    <xf numFmtId="0" fontId="11" fillId="2" borderId="0" xfId="1" applyFill="1"/>
    <xf numFmtId="0" fontId="12" fillId="0" borderId="0" xfId="1" applyFont="1"/>
    <xf numFmtId="0" fontId="12" fillId="0" borderId="0" xfId="1" applyNumberFormat="1" applyFont="1"/>
    <xf numFmtId="0" fontId="11" fillId="0" borderId="0" xfId="1" applyNumberFormat="1"/>
    <xf numFmtId="0" fontId="11" fillId="0" borderId="1" xfId="1" applyBorder="1"/>
    <xf numFmtId="0" fontId="11" fillId="0" borderId="2" xfId="1" applyBorder="1"/>
    <xf numFmtId="0" fontId="11" fillId="0" borderId="3" xfId="1" applyBorder="1"/>
    <xf numFmtId="0" fontId="13" fillId="0" borderId="0" xfId="1" applyFont="1"/>
    <xf numFmtId="0" fontId="8" fillId="0" borderId="0" xfId="1" applyFont="1"/>
    <xf numFmtId="0" fontId="6" fillId="0" borderId="0" xfId="1" applyFont="1"/>
    <xf numFmtId="0" fontId="11" fillId="0" borderId="0" xfId="1" applyFill="1"/>
    <xf numFmtId="0" fontId="11" fillId="0" borderId="0" xfId="1" applyAlignment="1">
      <alignment horizontal="left" indent="3"/>
    </xf>
    <xf numFmtId="0" fontId="11" fillId="0" borderId="0" xfId="1" applyAlignment="1"/>
    <xf numFmtId="164" fontId="11" fillId="0" borderId="0" xfId="1" applyNumberFormat="1"/>
    <xf numFmtId="0" fontId="11" fillId="0" borderId="0" xfId="1" applyAlignment="1">
      <alignment horizontal="left" indent="7"/>
    </xf>
    <xf numFmtId="0" fontId="11" fillId="0" borderId="0" xfId="1" applyFont="1"/>
    <xf numFmtId="0" fontId="10" fillId="0" borderId="0" xfId="1" applyFont="1"/>
    <xf numFmtId="0" fontId="6" fillId="0" borderId="0" xfId="1" applyFont="1" applyFill="1"/>
    <xf numFmtId="0" fontId="11" fillId="2" borderId="0" xfId="1" applyFill="1" applyAlignment="1">
      <alignment horizontal="left"/>
    </xf>
    <xf numFmtId="49" fontId="12" fillId="0" borderId="0" xfId="1" applyNumberFormat="1" applyFont="1"/>
    <xf numFmtId="49" fontId="11" fillId="0" borderId="0" xfId="1" applyNumberFormat="1"/>
    <xf numFmtId="0" fontId="14" fillId="0" borderId="0" xfId="1" applyFont="1"/>
    <xf numFmtId="0" fontId="11" fillId="0" borderId="6" xfId="1" applyBorder="1"/>
    <xf numFmtId="0" fontId="11" fillId="0" borderId="7" xfId="1" applyBorder="1"/>
    <xf numFmtId="0" fontId="11" fillId="0" borderId="8" xfId="1" applyBorder="1"/>
    <xf numFmtId="0" fontId="0" fillId="2" borderId="0" xfId="0" applyFill="1" applyAlignment="1">
      <alignment horizontal="right"/>
    </xf>
    <xf numFmtId="0" fontId="0" fillId="2" borderId="0" xfId="0" applyNumberFormat="1" applyFill="1" applyAlignment="1">
      <alignment horizontal="center"/>
    </xf>
    <xf numFmtId="0" fontId="0" fillId="2" borderId="0" xfId="0" applyNumberFormat="1" applyFill="1"/>
    <xf numFmtId="0" fontId="6" fillId="2" borderId="0" xfId="0" applyFont="1" applyFill="1" applyAlignment="1">
      <alignment horizontal="right"/>
    </xf>
    <xf numFmtId="0" fontId="6"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wrapText="1"/>
    </xf>
    <xf numFmtId="0" fontId="0" fillId="2" borderId="0" xfId="0" applyFill="1" applyBorder="1"/>
    <xf numFmtId="0" fontId="0" fillId="2" borderId="0" xfId="0" applyFill="1" applyBorder="1" applyAlignment="1">
      <alignment horizontal="right"/>
    </xf>
    <xf numFmtId="0" fontId="12" fillId="0" borderId="0" xfId="0" applyFont="1"/>
    <xf numFmtId="49" fontId="11" fillId="0" borderId="0" xfId="1" applyNumberFormat="1" applyAlignment="1">
      <alignment horizontal="right"/>
    </xf>
    <xf numFmtId="0" fontId="4" fillId="0" borderId="1" xfId="1" applyFont="1" applyBorder="1"/>
    <xf numFmtId="49" fontId="12" fillId="0" borderId="0" xfId="0" applyNumberFormat="1" applyFont="1"/>
    <xf numFmtId="0" fontId="4" fillId="0" borderId="3" xfId="1" applyFont="1" applyBorder="1"/>
    <xf numFmtId="0" fontId="16" fillId="2" borderId="0" xfId="0" applyFont="1" applyFill="1"/>
    <xf numFmtId="0" fontId="15" fillId="2" borderId="9" xfId="0" applyFont="1" applyFill="1" applyBorder="1" applyAlignment="1">
      <alignment horizontal="center" vertical="center"/>
    </xf>
    <xf numFmtId="0" fontId="15" fillId="2" borderId="10" xfId="0" applyFont="1" applyFill="1" applyBorder="1" applyAlignment="1">
      <alignment horizontal="center" vertical="center"/>
    </xf>
    <xf numFmtId="0" fontId="16" fillId="2" borderId="0" xfId="0" applyFont="1" applyFill="1" applyAlignment="1">
      <alignment horizontal="center"/>
    </xf>
    <xf numFmtId="0" fontId="18" fillId="2" borderId="0" xfId="0" applyFont="1" applyFill="1" applyAlignment="1">
      <alignment horizontal="center"/>
    </xf>
    <xf numFmtId="0" fontId="16" fillId="2" borderId="0" xfId="0" applyFont="1" applyFill="1" applyAlignment="1"/>
    <xf numFmtId="0" fontId="16" fillId="2" borderId="0" xfId="0" applyFont="1" applyFill="1" applyAlignment="1">
      <alignment horizontal="right"/>
    </xf>
    <xf numFmtId="0" fontId="15" fillId="2" borderId="9" xfId="0" applyFont="1" applyFill="1" applyBorder="1" applyAlignment="1">
      <alignment horizontal="center"/>
    </xf>
    <xf numFmtId="0" fontId="15" fillId="2" borderId="10" xfId="0" applyFont="1" applyFill="1" applyBorder="1" applyAlignment="1">
      <alignment horizontal="center"/>
    </xf>
    <xf numFmtId="0" fontId="12" fillId="0" borderId="0" xfId="1" quotePrefix="1" applyNumberFormat="1" applyFont="1"/>
    <xf numFmtId="0" fontId="11" fillId="0" borderId="0" xfId="1" applyNumberFormat="1" applyAlignment="1">
      <alignment horizontal="right"/>
    </xf>
    <xf numFmtId="0" fontId="0" fillId="2" borderId="0" xfId="0" applyFill="1" applyAlignment="1">
      <alignment horizontal="left" vertical="center"/>
    </xf>
    <xf numFmtId="0" fontId="0" fillId="3" borderId="0" xfId="0" applyFill="1" applyAlignment="1">
      <alignment horizontal="left" vertical="center"/>
    </xf>
    <xf numFmtId="0" fontId="6" fillId="2" borderId="0" xfId="0" applyFont="1" applyFill="1" applyAlignment="1">
      <alignment horizontal="left" vertical="center"/>
    </xf>
    <xf numFmtId="0" fontId="0" fillId="2" borderId="0" xfId="0" applyFill="1" applyAlignment="1">
      <alignment wrapText="1"/>
    </xf>
    <xf numFmtId="0" fontId="0" fillId="4" borderId="0" xfId="0" applyFill="1"/>
    <xf numFmtId="0" fontId="0" fillId="5" borderId="0" xfId="0" applyFill="1"/>
    <xf numFmtId="0" fontId="6" fillId="0" borderId="0" xfId="0" applyFont="1"/>
    <xf numFmtId="0" fontId="6" fillId="4" borderId="0" xfId="0" applyFont="1" applyFill="1"/>
    <xf numFmtId="0" fontId="6" fillId="4" borderId="0" xfId="0" applyFont="1" applyFill="1" applyAlignment="1">
      <alignment wrapText="1"/>
    </xf>
    <xf numFmtId="0" fontId="23" fillId="5" borderId="0" xfId="0" applyFont="1" applyFill="1"/>
    <xf numFmtId="0" fontId="24" fillId="5" borderId="0" xfId="14" applyFont="1" applyFill="1"/>
    <xf numFmtId="0" fontId="26" fillId="3" borderId="0" xfId="0" applyFont="1" applyFill="1"/>
    <xf numFmtId="0" fontId="27" fillId="5" borderId="0" xfId="0" applyFont="1" applyFill="1"/>
    <xf numFmtId="0" fontId="25" fillId="3" borderId="0" xfId="0" applyFont="1" applyFill="1"/>
    <xf numFmtId="0" fontId="11" fillId="6" borderId="0" xfId="1" applyFill="1"/>
    <xf numFmtId="0" fontId="3" fillId="0" borderId="0" xfId="1" applyFont="1"/>
    <xf numFmtId="0" fontId="3" fillId="0" borderId="0" xfId="1" applyNumberFormat="1" applyFont="1"/>
    <xf numFmtId="0" fontId="3" fillId="0" borderId="0" xfId="1" applyNumberFormat="1" applyFont="1" applyAlignment="1">
      <alignment horizontal="right"/>
    </xf>
    <xf numFmtId="0" fontId="3" fillId="0" borderId="6" xfId="1" applyFont="1" applyBorder="1"/>
    <xf numFmtId="0" fontId="3" fillId="0" borderId="7" xfId="1" applyFont="1" applyBorder="1"/>
    <xf numFmtId="0" fontId="6" fillId="2" borderId="0" xfId="0" applyFont="1" applyFill="1" applyAlignment="1">
      <alignment wrapText="1"/>
    </xf>
    <xf numFmtId="0" fontId="9" fillId="2" borderId="0" xfId="0" applyFont="1" applyFill="1" applyAlignment="1"/>
    <xf numFmtId="0" fontId="28" fillId="2" borderId="0" xfId="0" applyFont="1" applyFill="1"/>
    <xf numFmtId="0" fontId="29" fillId="2" borderId="0" xfId="0" applyFont="1" applyFill="1" applyBorder="1" applyAlignment="1">
      <alignment horizontal="center" vertical="center"/>
    </xf>
    <xf numFmtId="0" fontId="17" fillId="2" borderId="0" xfId="0" applyFont="1" applyFill="1" applyBorder="1" applyAlignment="1">
      <alignment horizontal="center"/>
    </xf>
    <xf numFmtId="49" fontId="3" fillId="0" borderId="0" xfId="1" applyNumberFormat="1" applyFont="1"/>
    <xf numFmtId="0" fontId="13" fillId="0" borderId="5" xfId="1" applyFont="1" applyBorder="1"/>
    <xf numFmtId="0" fontId="13" fillId="0" borderId="4" xfId="1" applyFont="1" applyBorder="1"/>
    <xf numFmtId="0" fontId="32" fillId="0" borderId="0" xfId="1" applyFont="1"/>
    <xf numFmtId="0" fontId="33" fillId="0" borderId="0" xfId="1" applyFont="1"/>
    <xf numFmtId="0" fontId="11" fillId="0" borderId="11" xfId="1" applyBorder="1"/>
    <xf numFmtId="0" fontId="3" fillId="0" borderId="3" xfId="1" applyFont="1" applyBorder="1"/>
    <xf numFmtId="0" fontId="0" fillId="2" borderId="0" xfId="0" applyFill="1" applyAlignment="1">
      <alignment vertical="center" wrapText="1"/>
    </xf>
    <xf numFmtId="0" fontId="7" fillId="2" borderId="0" xfId="0" applyFont="1" applyFill="1" applyAlignment="1">
      <alignment horizontal="center" wrapText="1"/>
    </xf>
    <xf numFmtId="0" fontId="0" fillId="2" borderId="0" xfId="0" applyFill="1" applyAlignment="1">
      <alignment wrapText="1"/>
    </xf>
    <xf numFmtId="0" fontId="6" fillId="2" borderId="0" xfId="0" applyFont="1" applyFill="1" applyAlignment="1">
      <alignment wrapText="1"/>
    </xf>
    <xf numFmtId="0" fontId="9" fillId="2" borderId="0" xfId="0" applyFont="1" applyFill="1" applyAlignment="1"/>
    <xf numFmtId="0" fontId="6" fillId="7" borderId="0" xfId="0" applyFont="1" applyFill="1"/>
    <xf numFmtId="0" fontId="6" fillId="7" borderId="0" xfId="0" applyFont="1" applyFill="1" applyAlignment="1">
      <alignment horizontal="center"/>
    </xf>
    <xf numFmtId="0" fontId="28" fillId="7" borderId="0" xfId="0" applyFont="1" applyFill="1"/>
    <xf numFmtId="0" fontId="30" fillId="7" borderId="0" xfId="0" applyFont="1" applyFill="1"/>
    <xf numFmtId="0" fontId="34" fillId="7" borderId="0" xfId="0" applyFont="1" applyFill="1"/>
    <xf numFmtId="2" fontId="0" fillId="2" borderId="0" xfId="0" applyNumberFormat="1" applyFill="1"/>
    <xf numFmtId="0" fontId="15" fillId="2" borderId="9" xfId="0" applyNumberFormat="1" applyFont="1" applyFill="1" applyBorder="1" applyAlignment="1">
      <alignment horizontal="center" vertical="center"/>
    </xf>
    <xf numFmtId="0" fontId="12" fillId="6" borderId="0" xfId="1" applyFont="1" applyFill="1"/>
    <xf numFmtId="0" fontId="11" fillId="6" borderId="0" xfId="1" applyNumberFormat="1" applyFill="1"/>
    <xf numFmtId="0" fontId="12" fillId="6" borderId="0" xfId="0" applyFont="1" applyFill="1"/>
    <xf numFmtId="49" fontId="11" fillId="0" borderId="0" xfId="1" applyNumberFormat="1" applyFill="1"/>
    <xf numFmtId="0" fontId="31" fillId="0" borderId="0" xfId="1" applyFont="1" applyFill="1"/>
    <xf numFmtId="0" fontId="0" fillId="4" borderId="0" xfId="0" applyFill="1" applyAlignment="1">
      <alignment horizontal="left" vertical="top"/>
    </xf>
    <xf numFmtId="0" fontId="36" fillId="4" borderId="0" xfId="0" applyFont="1" applyFill="1" applyAlignment="1">
      <alignment vertical="center"/>
    </xf>
    <xf numFmtId="0" fontId="36" fillId="4" borderId="0" xfId="0" applyFont="1" applyFill="1" applyAlignment="1">
      <alignment horizontal="left" vertical="center"/>
    </xf>
    <xf numFmtId="0" fontId="3" fillId="0" borderId="0" xfId="1" applyNumberFormat="1" applyFont="1" applyFill="1" applyAlignment="1">
      <alignment horizontal="right"/>
    </xf>
    <xf numFmtId="0" fontId="22" fillId="0" borderId="3" xfId="0" applyNumberFormat="1" applyFont="1" applyBorder="1" applyAlignment="1">
      <alignment horizontal="left"/>
    </xf>
    <xf numFmtId="0" fontId="22" fillId="0" borderId="3" xfId="0" applyFont="1" applyBorder="1" applyAlignment="1">
      <alignment horizontal="left"/>
    </xf>
    <xf numFmtId="0" fontId="3" fillId="0" borderId="3" xfId="1" applyNumberFormat="1" applyFont="1" applyFill="1" applyBorder="1" applyAlignment="1">
      <alignment horizontal="left"/>
    </xf>
    <xf numFmtId="0" fontId="3" fillId="0" borderId="2" xfId="1" applyNumberFormat="1" applyFont="1" applyFill="1" applyBorder="1" applyAlignment="1">
      <alignment horizontal="left"/>
    </xf>
    <xf numFmtId="0" fontId="8" fillId="2" borderId="0" xfId="0" applyFont="1" applyFill="1" applyProtection="1">
      <protection locked="0"/>
    </xf>
    <xf numFmtId="0" fontId="11" fillId="8" borderId="0" xfId="1" applyFill="1"/>
    <xf numFmtId="0" fontId="2" fillId="0" borderId="0" xfId="1" applyNumberFormat="1" applyFont="1"/>
    <xf numFmtId="0" fontId="11" fillId="5" borderId="0" xfId="1" applyFill="1"/>
    <xf numFmtId="0" fontId="37" fillId="3" borderId="0" xfId="0" applyFont="1" applyFill="1"/>
    <xf numFmtId="0" fontId="37" fillId="5" borderId="0" xfId="0" applyFont="1" applyFill="1"/>
    <xf numFmtId="0" fontId="1" fillId="0" borderId="0" xfId="1" applyNumberFormat="1" applyFont="1"/>
    <xf numFmtId="0" fontId="1" fillId="0" borderId="3" xfId="1" applyFont="1" applyBorder="1"/>
    <xf numFmtId="0" fontId="1" fillId="0" borderId="0" xfId="1" applyFont="1"/>
    <xf numFmtId="0" fontId="1" fillId="0" borderId="0" xfId="1" applyFont="1" applyAlignment="1">
      <alignment horizontal="left" indent="3"/>
    </xf>
    <xf numFmtId="0" fontId="8" fillId="2" borderId="0" xfId="0" applyFont="1" applyFill="1" applyAlignment="1">
      <alignment horizontal="left" vertical="center"/>
    </xf>
    <xf numFmtId="0" fontId="8" fillId="2" borderId="0" xfId="14" applyFont="1" applyFill="1" applyAlignment="1">
      <alignment horizontal="left" vertical="center"/>
    </xf>
    <xf numFmtId="49" fontId="0" fillId="2" borderId="0" xfId="0" applyNumberFormat="1" applyFill="1" applyAlignment="1">
      <alignment horizontal="left" vertical="center"/>
    </xf>
    <xf numFmtId="0" fontId="0" fillId="2" borderId="0" xfId="0" applyFill="1" applyAlignment="1">
      <alignment vertical="center" wrapText="1"/>
    </xf>
    <xf numFmtId="0" fontId="7" fillId="2" borderId="0" xfId="0" applyFont="1" applyFill="1" applyAlignment="1">
      <alignment horizontal="left" vertical="top" wrapText="1"/>
    </xf>
    <xf numFmtId="0" fontId="0" fillId="2" borderId="0" xfId="0" applyFill="1" applyAlignment="1">
      <alignment horizontal="left" wrapText="1" indent="2"/>
    </xf>
    <xf numFmtId="0" fontId="0"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9" fillId="2" borderId="0" xfId="0" applyFont="1" applyFill="1" applyAlignment="1"/>
    <xf numFmtId="0" fontId="7" fillId="2" borderId="0" xfId="0" applyFont="1" applyFill="1" applyAlignment="1">
      <alignment horizontal="center" wrapText="1"/>
    </xf>
    <xf numFmtId="0" fontId="36" fillId="4" borderId="0" xfId="0" applyFont="1" applyFill="1" applyAlignment="1">
      <alignment horizontal="left" vertical="top" wrapText="1"/>
    </xf>
    <xf numFmtId="0" fontId="0" fillId="4" borderId="0" xfId="0" applyFill="1" applyAlignment="1">
      <alignment horizontal="left" vertical="top" wrapText="1"/>
    </xf>
    <xf numFmtId="0" fontId="36" fillId="4" borderId="0" xfId="0" applyFont="1" applyFill="1" applyAlignment="1">
      <alignment horizontal="left" vertical="center"/>
    </xf>
    <xf numFmtId="0" fontId="0" fillId="4" borderId="0" xfId="0" applyFill="1" applyAlignment="1">
      <alignment horizontal="left" vertical="center"/>
    </xf>
  </cellXfs>
  <cellStyles count="21">
    <cellStyle name="Besuchter Hyperlink" xfId="3" builtinId="9" hidden="1"/>
    <cellStyle name="Besuchter Hyperlink" xfId="5" builtinId="9" hidden="1"/>
    <cellStyle name="Besuchter Hyperlink" xfId="7" builtinId="9" hidden="1"/>
    <cellStyle name="Besuchter Hyperlink" xfId="9" builtinId="9" hidden="1"/>
    <cellStyle name="Besuchter Hyperlink" xfId="11" builtinId="9" hidden="1"/>
    <cellStyle name="Besuchter Hyperlink" xfId="13"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cellStyle name="Standard" xfId="0" builtinId="0"/>
    <cellStyle name="Standard 2" xfId="1"/>
  </cellStyles>
  <dxfs count="8">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auto="1"/>
      </font>
    </dxf>
    <dxf>
      <fill>
        <patternFill>
          <bgColor theme="2" tint="-9.9948118533890809E-2"/>
        </patternFill>
      </fill>
    </dxf>
    <dxf>
      <font>
        <color auto="1"/>
      </font>
    </dxf>
    <dxf>
      <numFmt numFmtId="13" formatCode="0%"/>
    </dxf>
  </dxfs>
  <tableStyles count="0" defaultTableStyle="TableStyleMedium2" defaultPivotStyle="PivotStyleLight16"/>
  <colors>
    <mruColors>
      <color rgb="FFD1663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de-DE" baseline="0"/>
              <a:t>Transport</a:t>
            </a:r>
            <a:endParaRPr lang="de-DE"/>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'Basis Diag.'!$A$4:$A$8</c:f>
              <c:strCache>
                <c:ptCount val="5"/>
                <c:pt idx="0">
                  <c:v>in Betrieb</c:v>
                </c:pt>
                <c:pt idx="1">
                  <c:v>geplant</c:v>
                </c:pt>
                <c:pt idx="2">
                  <c:v>angedacht</c:v>
                </c:pt>
                <c:pt idx="3">
                  <c:v>kein Bedarf als Anbieter</c:v>
                </c:pt>
                <c:pt idx="4">
                  <c:v>kein Bedarf als Abnehmer</c:v>
                </c:pt>
              </c:strCache>
            </c:strRef>
          </c:cat>
          <c:val>
            <c:numRef>
              <c:f>'Basis Diag.'!$B$4:$B$8</c:f>
              <c:numCache>
                <c:formatCode>General</c:formatCode>
                <c:ptCount val="5"/>
                <c:pt idx="0">
                  <c:v>0.74358974358974361</c:v>
                </c:pt>
                <c:pt idx="1">
                  <c:v>2.564102564102564E-2</c:v>
                </c:pt>
                <c:pt idx="2">
                  <c:v>2.564102564102564E-2</c:v>
                </c:pt>
                <c:pt idx="3">
                  <c:v>0.11538461538461539</c:v>
                </c:pt>
                <c:pt idx="4">
                  <c:v>8.9743589743589744E-2</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1000"/>
          </a:pPr>
          <a:endParaRPr lang="de-DE"/>
        </a:p>
      </c:txPr>
    </c:legend>
    <c:plotVisOnly val="1"/>
    <c:dispBlanksAs val="zero"/>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de-DE" sz="1800" b="1" i="0" u="none" strike="noStrike" baseline="0">
                <a:effectLst/>
              </a:rPr>
              <a:t>Outsourcing </a:t>
            </a:r>
            <a:endParaRPr lang="de-DE"/>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'Basis Diag.'!$A$11:$A$15</c:f>
              <c:strCache>
                <c:ptCount val="5"/>
                <c:pt idx="0">
                  <c:v>in Betrieb</c:v>
                </c:pt>
                <c:pt idx="1">
                  <c:v>geplant</c:v>
                </c:pt>
                <c:pt idx="2">
                  <c:v>angedacht</c:v>
                </c:pt>
                <c:pt idx="3">
                  <c:v>kein Bedarf als Anbieter</c:v>
                </c:pt>
                <c:pt idx="4">
                  <c:v>kein Bedarf als Abnehmer</c:v>
                </c:pt>
              </c:strCache>
            </c:strRef>
          </c:cat>
          <c:val>
            <c:numRef>
              <c:f>'Basis Diag.'!$B$11:$B$15</c:f>
              <c:numCache>
                <c:formatCode>General</c:formatCode>
                <c:ptCount val="5"/>
                <c:pt idx="0">
                  <c:v>9.5238095238095233E-2</c:v>
                </c:pt>
                <c:pt idx="1">
                  <c:v>1.5873015873015872E-2</c:v>
                </c:pt>
                <c:pt idx="2">
                  <c:v>9.5238095238095233E-2</c:v>
                </c:pt>
                <c:pt idx="3">
                  <c:v>0.44444444444444442</c:v>
                </c:pt>
                <c:pt idx="4">
                  <c:v>0.34920634920634919</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4499978127734003"/>
          <c:y val="0.26592695520902998"/>
          <c:w val="0.33833355205599303"/>
          <c:h val="0.49853841799186899"/>
        </c:manualLayout>
      </c:layout>
      <c:overlay val="0"/>
    </c:legend>
    <c:plotVisOnly val="1"/>
    <c:dispBlanksAs val="zero"/>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Lbls>
            <c:showLegendKey val="0"/>
            <c:showVal val="0"/>
            <c:showCatName val="0"/>
            <c:showSerName val="0"/>
            <c:showPercent val="1"/>
            <c:showBubbleSize val="0"/>
            <c:showLeaderLines val="1"/>
          </c:dLbls>
          <c:cat>
            <c:strRef>
              <c:f>'Basis Diag.'!$A$20:$A$26</c:f>
              <c:strCache>
                <c:ptCount val="7"/>
                <c:pt idx="0">
                  <c:v>ISDN</c:v>
                </c:pt>
                <c:pt idx="1">
                  <c:v>DSL</c:v>
                </c:pt>
                <c:pt idx="2">
                  <c:v>VDSL</c:v>
                </c:pt>
                <c:pt idx="3">
                  <c:v>LTE</c:v>
                </c:pt>
                <c:pt idx="4">
                  <c:v>Glasfasernetze</c:v>
                </c:pt>
                <c:pt idx="5">
                  <c:v>Intranet</c:v>
                </c:pt>
                <c:pt idx="6">
                  <c:v>EDI</c:v>
                </c:pt>
              </c:strCache>
            </c:strRef>
          </c:cat>
          <c:val>
            <c:numRef>
              <c:f>'Basis Diag.'!$B$20:$B$26</c:f>
              <c:numCache>
                <c:formatCode>General</c:formatCode>
                <c:ptCount val="7"/>
                <c:pt idx="0">
                  <c:v>0.19310344827586207</c:v>
                </c:pt>
                <c:pt idx="1">
                  <c:v>0.40689655172413791</c:v>
                </c:pt>
                <c:pt idx="2">
                  <c:v>4.1379310344827586E-2</c:v>
                </c:pt>
                <c:pt idx="3">
                  <c:v>0</c:v>
                </c:pt>
                <c:pt idx="4">
                  <c:v>0.1310344827586207</c:v>
                </c:pt>
                <c:pt idx="5">
                  <c:v>0.17241379310344829</c:v>
                </c:pt>
                <c:pt idx="6">
                  <c:v>5.5172413793103448E-2</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1050"/>
          </a:pPr>
          <a:endParaRPr lang="de-DE"/>
        </a:p>
      </c:txPr>
    </c:legend>
    <c:plotVisOnly val="1"/>
    <c:dispBlanksAs val="zero"/>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de-DE"/>
              <a:t>Transporte LKW</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'Basis Diag.'!$A$32:$A$35</c:f>
              <c:strCache>
                <c:ptCount val="4"/>
                <c:pt idx="0">
                  <c:v>keine</c:v>
                </c:pt>
                <c:pt idx="1">
                  <c:v>wenige</c:v>
                </c:pt>
                <c:pt idx="2">
                  <c:v>viele</c:v>
                </c:pt>
                <c:pt idx="3">
                  <c:v>alle</c:v>
                </c:pt>
              </c:strCache>
            </c:strRef>
          </c:cat>
          <c:val>
            <c:numRef>
              <c:f>'Basis Diag.'!$B$32:$B$35</c:f>
              <c:numCache>
                <c:formatCode>General</c:formatCode>
                <c:ptCount val="4"/>
                <c:pt idx="0">
                  <c:v>2.3529411764705882E-2</c:v>
                </c:pt>
                <c:pt idx="1">
                  <c:v>9.4117647058823528E-2</c:v>
                </c:pt>
                <c:pt idx="2">
                  <c:v>0.52941176470588236</c:v>
                </c:pt>
                <c:pt idx="3">
                  <c:v>0.35294117647058826</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1050"/>
          </a:pPr>
          <a:endParaRPr lang="de-DE"/>
        </a:p>
      </c:txPr>
    </c:legend>
    <c:plotVisOnly val="1"/>
    <c:dispBlanksAs val="zero"/>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de-DE" baseline="0"/>
              <a:t>Transporte Bahn</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'Basis Diag.'!$A$38:$A$41</c:f>
              <c:strCache>
                <c:ptCount val="4"/>
                <c:pt idx="0">
                  <c:v>keine</c:v>
                </c:pt>
                <c:pt idx="1">
                  <c:v>wenige</c:v>
                </c:pt>
                <c:pt idx="2">
                  <c:v>viele</c:v>
                </c:pt>
                <c:pt idx="3">
                  <c:v>alle</c:v>
                </c:pt>
              </c:strCache>
            </c:strRef>
          </c:cat>
          <c:val>
            <c:numRef>
              <c:f>'Basis Diag.'!$B$38:$B$41</c:f>
              <c:numCache>
                <c:formatCode>General</c:formatCode>
                <c:ptCount val="4"/>
                <c:pt idx="0">
                  <c:v>0.84126984126984128</c:v>
                </c:pt>
                <c:pt idx="1">
                  <c:v>0.12698412698412698</c:v>
                </c:pt>
                <c:pt idx="2">
                  <c:v>3.1746031746031744E-2</c:v>
                </c:pt>
                <c:pt idx="3">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1050"/>
          </a:pPr>
          <a:endParaRPr lang="de-DE"/>
        </a:p>
      </c:txPr>
    </c:legend>
    <c:plotVisOnly val="1"/>
    <c:dispBlanksAs val="zero"/>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62" dropStyle="combo" dx="16" fmlaLink="filter1" fmlaRange="Liste1" val="0"/>
</file>

<file path=xl/ctrlProps/ctrlProp10.xml><?xml version="1.0" encoding="utf-8"?>
<formControlPr xmlns="http://schemas.microsoft.com/office/spreadsheetml/2009/9/main" objectType="Drop" dropLines="62" dropStyle="combo" dx="16" fmlaLink="filter1" fmlaRange="Liste1" val="4"/>
</file>

<file path=xl/ctrlProps/ctrlProp11.xml><?xml version="1.0" encoding="utf-8"?>
<formControlPr xmlns="http://schemas.microsoft.com/office/spreadsheetml/2009/9/main" objectType="Scroll" dx="16" fmlaLink="filter1" horiz="1" max="100" min="1" page="10"/>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Scroll" dx="16" fmlaLink="filter1" horiz="1" max="100" min="1" page="10"/>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Drop" dropLines="49" dropStyle="combo" dx="16" fmlaLink="filter2" fmlaRange="liste2" val="0"/>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Scroll" dx="16" fmlaLink="filter2" horiz="1" max="100" min="1" page="10"/>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fmlaLink="Prozent" lockText="1" noThreeD="1"/>
</file>

<file path=xl/ctrlProps/ctrlProp6.xml><?xml version="1.0" encoding="utf-8"?>
<formControlPr xmlns="http://schemas.microsoft.com/office/spreadsheetml/2009/9/main" objectType="Drop" dropLines="20" dropStyle="combo" dx="16" fmlaLink="filter1" fmlaRange="Liste1" val="0"/>
</file>

<file path=xl/ctrlProps/ctrlProp7.xml><?xml version="1.0" encoding="utf-8"?>
<formControlPr xmlns="http://schemas.microsoft.com/office/spreadsheetml/2009/9/main" objectType="Scroll" dx="16" fmlaLink="filter1" horiz="1" max="100" min="1" page="10"/>
</file>

<file path=xl/ctrlProps/ctrlProp8.xml><?xml version="1.0" encoding="utf-8"?>
<formControlPr xmlns="http://schemas.microsoft.com/office/spreadsheetml/2009/9/main" objectType="Drop" dropLines="49" dropStyle="combo" dx="16" fmlaLink="filter2" fmlaRange="liste2" val="0"/>
</file>

<file path=xl/ctrlProps/ctrlProp9.xml><?xml version="1.0" encoding="utf-8"?>
<formControlPr xmlns="http://schemas.microsoft.com/office/spreadsheetml/2009/9/main" objectType="Scroll" dx="16" fmlaLink="filter2" horiz="1" max="100" min="1" page="1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Diagramme!A1"/><Relationship Id="rId2" Type="http://schemas.openxmlformats.org/officeDocument/2006/relationships/image" Target="../media/image2.png"/><Relationship Id="rId1" Type="http://schemas.openxmlformats.org/officeDocument/2006/relationships/hyperlink" Target="#Startseite!A1"/></Relationships>
</file>

<file path=xl/drawings/_rels/drawing3.xml.rels><?xml version="1.0" encoding="UTF-8" standalone="yes"?>
<Relationships xmlns="http://schemas.openxmlformats.org/package/2006/relationships"><Relationship Id="rId1" Type="http://schemas.openxmlformats.org/officeDocument/2006/relationships/hyperlink" Target="#Startseit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tartseite!A1"/></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hyperlink" Target="#Fokus1!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Startseite!A1"/><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9</xdr:col>
      <xdr:colOff>476250</xdr:colOff>
      <xdr:row>4</xdr:row>
      <xdr:rowOff>133350</xdr:rowOff>
    </xdr:from>
    <xdr:to>
      <xdr:col>12</xdr:col>
      <xdr:colOff>479124</xdr:colOff>
      <xdr:row>8</xdr:row>
      <xdr:rowOff>266700</xdr:rowOff>
    </xdr:to>
    <xdr:pic>
      <xdr:nvPicPr>
        <xdr:cNvPr id="4" name="Bild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1925" y="895350"/>
          <a:ext cx="2288874"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xdr:row>
      <xdr:rowOff>47625</xdr:rowOff>
    </xdr:from>
    <xdr:to>
      <xdr:col>5</xdr:col>
      <xdr:colOff>161926</xdr:colOff>
      <xdr:row>9</xdr:row>
      <xdr:rowOff>8789</xdr:rowOff>
    </xdr:to>
    <xdr:pic>
      <xdr:nvPicPr>
        <xdr:cNvPr id="5" name="Grafik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809625"/>
          <a:ext cx="2409826" cy="1018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3</xdr:row>
      <xdr:rowOff>171450</xdr:rowOff>
    </xdr:from>
    <xdr:to>
      <xdr:col>20</xdr:col>
      <xdr:colOff>66675</xdr:colOff>
      <xdr:row>3</xdr:row>
      <xdr:rowOff>180975</xdr:rowOff>
    </xdr:to>
    <xdr:cxnSp macro="">
      <xdr:nvCxnSpPr>
        <xdr:cNvPr id="3" name="Gerade Verbindung 2"/>
        <xdr:cNvCxnSpPr/>
      </xdr:nvCxnSpPr>
      <xdr:spPr>
        <a:xfrm flipV="1">
          <a:off x="1504950" y="742950"/>
          <a:ext cx="14249400" cy="9525"/>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1</xdr:col>
      <xdr:colOff>742950</xdr:colOff>
      <xdr:row>4</xdr:row>
      <xdr:rowOff>0</xdr:rowOff>
    </xdr:from>
    <xdr:to>
      <xdr:col>1</xdr:col>
      <xdr:colOff>752475</xdr:colOff>
      <xdr:row>45</xdr:row>
      <xdr:rowOff>142875</xdr:rowOff>
    </xdr:to>
    <xdr:cxnSp macro="">
      <xdr:nvCxnSpPr>
        <xdr:cNvPr id="10" name="Gerade Verbindung 9"/>
        <xdr:cNvCxnSpPr/>
      </xdr:nvCxnSpPr>
      <xdr:spPr>
        <a:xfrm flipH="1">
          <a:off x="1504950" y="762000"/>
          <a:ext cx="9525" cy="9001125"/>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xdr:row>
      <xdr:rowOff>447675</xdr:rowOff>
    </xdr:from>
    <xdr:to>
      <xdr:col>6</xdr:col>
      <xdr:colOff>1152525</xdr:colOff>
      <xdr:row>1</xdr:row>
      <xdr:rowOff>707231</xdr:rowOff>
    </xdr:to>
    <xdr:sp macro="" textlink="">
      <xdr:nvSpPr>
        <xdr:cNvPr id="3" name="Textfeld 2">
          <a:hlinkClick xmlns:r="http://schemas.openxmlformats.org/officeDocument/2006/relationships" r:id="rId1"/>
        </xdr:cNvPr>
        <xdr:cNvSpPr txBox="1"/>
      </xdr:nvSpPr>
      <xdr:spPr>
        <a:xfrm>
          <a:off x="2162175" y="447675"/>
          <a:ext cx="1971675" cy="259556"/>
        </a:xfrm>
        <a:prstGeom prst="rect">
          <a:avLst/>
        </a:prstGeom>
        <a:solidFill>
          <a:srgbClr val="FFC00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a:t>Startseite</a:t>
          </a:r>
        </a:p>
      </xdr:txBody>
    </xdr:sp>
    <xdr:clientData/>
  </xdr:twoCellAnchor>
  <xdr:twoCellAnchor editAs="oneCell">
    <xdr:from>
      <xdr:col>6</xdr:col>
      <xdr:colOff>1295400</xdr:colOff>
      <xdr:row>0</xdr:row>
      <xdr:rowOff>1</xdr:rowOff>
    </xdr:from>
    <xdr:to>
      <xdr:col>10</xdr:col>
      <xdr:colOff>19585</xdr:colOff>
      <xdr:row>1</xdr:row>
      <xdr:rowOff>700655</xdr:rowOff>
    </xdr:to>
    <xdr:pic>
      <xdr:nvPicPr>
        <xdr:cNvPr id="9" name="Grafik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6725" y="1"/>
          <a:ext cx="1657885" cy="70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85725</xdr:colOff>
          <xdr:row>2</xdr:row>
          <xdr:rowOff>161925</xdr:rowOff>
        </xdr:from>
        <xdr:to>
          <xdr:col>4</xdr:col>
          <xdr:colOff>28575</xdr:colOff>
          <xdr:row>2</xdr:row>
          <xdr:rowOff>333375</xdr:rowOff>
        </xdr:to>
        <xdr:sp macro="" textlink="">
          <xdr:nvSpPr>
            <xdr:cNvPr id="2051" name="Drop Down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xdr:row>
          <xdr:rowOff>66675</xdr:rowOff>
        </xdr:from>
        <xdr:to>
          <xdr:col>2</xdr:col>
          <xdr:colOff>419100</xdr:colOff>
          <xdr:row>5</xdr:row>
          <xdr:rowOff>47625</xdr:rowOff>
        </xdr:to>
        <xdr:sp macro="" textlink="">
          <xdr:nvSpPr>
            <xdr:cNvPr id="2052" name="Scroll Bar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xdr:row>
          <xdr:rowOff>152400</xdr:rowOff>
        </xdr:from>
        <xdr:to>
          <xdr:col>9</xdr:col>
          <xdr:colOff>466725</xdr:colOff>
          <xdr:row>2</xdr:row>
          <xdr:rowOff>333375</xdr:rowOff>
        </xdr:to>
        <xdr:sp macro="" textlink="">
          <xdr:nvSpPr>
            <xdr:cNvPr id="2054" name="Drop Down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3</xdr:row>
          <xdr:rowOff>47625</xdr:rowOff>
        </xdr:from>
        <xdr:to>
          <xdr:col>9</xdr:col>
          <xdr:colOff>447675</xdr:colOff>
          <xdr:row>5</xdr:row>
          <xdr:rowOff>38100</xdr:rowOff>
        </xdr:to>
        <xdr:sp macro="" textlink="">
          <xdr:nvSpPr>
            <xdr:cNvPr id="2056" name="Scroll Bar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xdr:row>
          <xdr:rowOff>266700</xdr:rowOff>
        </xdr:from>
        <xdr:to>
          <xdr:col>6</xdr:col>
          <xdr:colOff>523875</xdr:colOff>
          <xdr:row>4</xdr:row>
          <xdr:rowOff>47625</xdr:rowOff>
        </xdr:to>
        <xdr:sp macro="" textlink="">
          <xdr:nvSpPr>
            <xdr:cNvPr id="2057" name="Check Box 9" hidden="1">
              <a:extLst>
                <a:ext uri="{63B3BB69-23CF-44E3-9099-C40C66FF867C}">
                  <a14:compatExt spid="_x0000_s2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 Prozent</a:t>
              </a:r>
            </a:p>
          </xdr:txBody>
        </xdr:sp>
        <xdr:clientData/>
      </xdr:twoCellAnchor>
    </mc:Choice>
    <mc:Fallback/>
  </mc:AlternateContent>
  <xdr:twoCellAnchor>
    <xdr:from>
      <xdr:col>4</xdr:col>
      <xdr:colOff>228601</xdr:colOff>
      <xdr:row>2</xdr:row>
      <xdr:rowOff>9525</xdr:rowOff>
    </xdr:from>
    <xdr:to>
      <xdr:col>6</xdr:col>
      <xdr:colOff>1038226</xdr:colOff>
      <xdr:row>2</xdr:row>
      <xdr:rowOff>266700</xdr:rowOff>
    </xdr:to>
    <xdr:sp macro="" textlink="">
      <xdr:nvSpPr>
        <xdr:cNvPr id="2" name="Textfeld 1">
          <a:hlinkClick xmlns:r="http://schemas.openxmlformats.org/officeDocument/2006/relationships" r:id="rId3"/>
        </xdr:cNvPr>
        <xdr:cNvSpPr txBox="1"/>
      </xdr:nvSpPr>
      <xdr:spPr>
        <a:xfrm>
          <a:off x="2381251" y="762000"/>
          <a:ext cx="1638300" cy="257175"/>
        </a:xfrm>
        <a:prstGeom prst="rect">
          <a:avLst/>
        </a:prstGeom>
        <a:solidFill>
          <a:srgbClr val="FFC00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400" b="1">
              <a:solidFill>
                <a:schemeClr val="dk1"/>
              </a:solidFill>
              <a:latin typeface="+mn-lt"/>
              <a:ea typeface="+mn-ea"/>
              <a:cs typeface="+mn-cs"/>
            </a:rPr>
            <a:t>Diagrammansicht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2</xdr:row>
      <xdr:rowOff>142875</xdr:rowOff>
    </xdr:from>
    <xdr:to>
      <xdr:col>5</xdr:col>
      <xdr:colOff>1143000</xdr:colOff>
      <xdr:row>3</xdr:row>
      <xdr:rowOff>11906</xdr:rowOff>
    </xdr:to>
    <xdr:sp macro="" textlink="">
      <xdr:nvSpPr>
        <xdr:cNvPr id="11" name="Textfeld 10">
          <a:hlinkClick xmlns:r="http://schemas.openxmlformats.org/officeDocument/2006/relationships" r:id="rId1"/>
        </xdr:cNvPr>
        <xdr:cNvSpPr txBox="1"/>
      </xdr:nvSpPr>
      <xdr:spPr>
        <a:xfrm>
          <a:off x="2095500" y="895350"/>
          <a:ext cx="1971675" cy="259556"/>
        </a:xfrm>
        <a:prstGeom prst="rect">
          <a:avLst/>
        </a:prstGeom>
        <a:solidFill>
          <a:srgbClr val="FFC00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a:t>Startseite</a:t>
          </a:r>
        </a:p>
      </xdr:txBody>
    </xdr:sp>
    <xdr:clientData/>
  </xdr:twoCellAnchor>
  <mc:AlternateContent xmlns:mc="http://schemas.openxmlformats.org/markup-compatibility/2006">
    <mc:Choice xmlns:a14="http://schemas.microsoft.com/office/drawing/2010/main" Requires="a14">
      <xdr:twoCellAnchor editAs="oneCell">
        <xdr:from>
          <xdr:col>0</xdr:col>
          <xdr:colOff>76200</xdr:colOff>
          <xdr:row>2</xdr:row>
          <xdr:rowOff>180975</xdr:rowOff>
        </xdr:from>
        <xdr:to>
          <xdr:col>1</xdr:col>
          <xdr:colOff>542925</xdr:colOff>
          <xdr:row>3</xdr:row>
          <xdr:rowOff>28575</xdr:rowOff>
        </xdr:to>
        <xdr:sp macro="" textlink="">
          <xdr:nvSpPr>
            <xdr:cNvPr id="9221" name="Drop Down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xdr:row>
          <xdr:rowOff>28575</xdr:rowOff>
        </xdr:from>
        <xdr:to>
          <xdr:col>1</xdr:col>
          <xdr:colOff>295275</xdr:colOff>
          <xdr:row>5</xdr:row>
          <xdr:rowOff>47625</xdr:rowOff>
        </xdr:to>
        <xdr:sp macro="" textlink="">
          <xdr:nvSpPr>
            <xdr:cNvPr id="9222" name="Scroll Bar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1409700</xdr:colOff>
          <xdr:row>2</xdr:row>
          <xdr:rowOff>161925</xdr:rowOff>
        </xdr:from>
        <xdr:to>
          <xdr:col>9</xdr:col>
          <xdr:colOff>409575</xdr:colOff>
          <xdr:row>2</xdr:row>
          <xdr:rowOff>409575</xdr:rowOff>
        </xdr:to>
        <xdr:sp macro="" textlink="">
          <xdr:nvSpPr>
            <xdr:cNvPr id="9223" name="Drop Down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1514475</xdr:colOff>
          <xdr:row>4</xdr:row>
          <xdr:rowOff>28575</xdr:rowOff>
        </xdr:from>
        <xdr:to>
          <xdr:col>9</xdr:col>
          <xdr:colOff>219075</xdr:colOff>
          <xdr:row>5</xdr:row>
          <xdr:rowOff>47625</xdr:rowOff>
        </xdr:to>
        <xdr:sp macro="" textlink="">
          <xdr:nvSpPr>
            <xdr:cNvPr id="9224" name="Scroll Bar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1809750</xdr:colOff>
      <xdr:row>2</xdr:row>
      <xdr:rowOff>163286</xdr:rowOff>
    </xdr:from>
    <xdr:to>
      <xdr:col>4</xdr:col>
      <xdr:colOff>326571</xdr:colOff>
      <xdr:row>4</xdr:row>
      <xdr:rowOff>13607</xdr:rowOff>
    </xdr:to>
    <xdr:sp macro="" textlink="">
      <xdr:nvSpPr>
        <xdr:cNvPr id="2" name="Rechteck 1">
          <a:hlinkClick xmlns:r="http://schemas.openxmlformats.org/officeDocument/2006/relationships" r:id="rId1"/>
        </xdr:cNvPr>
        <xdr:cNvSpPr/>
      </xdr:nvSpPr>
      <xdr:spPr>
        <a:xfrm>
          <a:off x="6762750" y="544286"/>
          <a:ext cx="1918607" cy="530678"/>
        </a:xfrm>
        <a:prstGeom prst="rect">
          <a:avLst/>
        </a:prstGeom>
        <a:solidFill>
          <a:srgbClr val="FFC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500" b="1">
              <a:solidFill>
                <a:sysClr val="windowText" lastClr="000000"/>
              </a:solidFill>
            </a:rPr>
            <a:t>Startseite</a:t>
          </a:r>
        </a:p>
      </xdr:txBody>
    </xdr:sp>
    <xdr:clientData/>
  </xdr:twoCellAnchor>
  <xdr:twoCellAnchor editAs="oneCell">
    <xdr:from>
      <xdr:col>0</xdr:col>
      <xdr:colOff>40822</xdr:colOff>
      <xdr:row>0</xdr:row>
      <xdr:rowOff>27215</xdr:rowOff>
    </xdr:from>
    <xdr:to>
      <xdr:col>0</xdr:col>
      <xdr:colOff>2423408</xdr:colOff>
      <xdr:row>3</xdr:row>
      <xdr:rowOff>462643</xdr:rowOff>
    </xdr:to>
    <xdr:pic>
      <xdr:nvPicPr>
        <xdr:cNvPr id="4" name="Grafik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22" y="27215"/>
          <a:ext cx="2382586" cy="1006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1361</xdr:colOff>
      <xdr:row>8</xdr:row>
      <xdr:rowOff>89797</xdr:rowOff>
    </xdr:from>
    <xdr:to>
      <xdr:col>7</xdr:col>
      <xdr:colOff>314325</xdr:colOff>
      <xdr:row>23</xdr:row>
      <xdr:rowOff>146947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371475</xdr:colOff>
      <xdr:row>8</xdr:row>
      <xdr:rowOff>89797</xdr:rowOff>
    </xdr:from>
    <xdr:to>
      <xdr:col>13</xdr:col>
      <xdr:colOff>371475</xdr:colOff>
      <xdr:row>23</xdr:row>
      <xdr:rowOff>146947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400050</xdr:colOff>
      <xdr:row>27</xdr:row>
      <xdr:rowOff>104764</xdr:rowOff>
    </xdr:from>
    <xdr:to>
      <xdr:col>10</xdr:col>
      <xdr:colOff>400050</xdr:colOff>
      <xdr:row>41</xdr:row>
      <xdr:rowOff>180964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238125</xdr:colOff>
      <xdr:row>47</xdr:row>
      <xdr:rowOff>104764</xdr:rowOff>
    </xdr:from>
    <xdr:to>
      <xdr:col>7</xdr:col>
      <xdr:colOff>238125</xdr:colOff>
      <xdr:row>61</xdr:row>
      <xdr:rowOff>180964</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419100</xdr:colOff>
      <xdr:row>47</xdr:row>
      <xdr:rowOff>95239</xdr:rowOff>
    </xdr:from>
    <xdr:to>
      <xdr:col>13</xdr:col>
      <xdr:colOff>419100</xdr:colOff>
      <xdr:row>61</xdr:row>
      <xdr:rowOff>171439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490556</xdr:colOff>
      <xdr:row>0</xdr:row>
      <xdr:rowOff>28575</xdr:rowOff>
    </xdr:from>
    <xdr:to>
      <xdr:col>7</xdr:col>
      <xdr:colOff>214331</xdr:colOff>
      <xdr:row>1</xdr:row>
      <xdr:rowOff>171450</xdr:rowOff>
    </xdr:to>
    <xdr:sp macro="" textlink="">
      <xdr:nvSpPr>
        <xdr:cNvPr id="2" name="Rechteck 1">
          <a:hlinkClick xmlns:r="http://schemas.openxmlformats.org/officeDocument/2006/relationships" r:id="rId6"/>
        </xdr:cNvPr>
        <xdr:cNvSpPr/>
      </xdr:nvSpPr>
      <xdr:spPr>
        <a:xfrm>
          <a:off x="3086119" y="28575"/>
          <a:ext cx="2009775" cy="392906"/>
        </a:xfrm>
        <a:prstGeom prst="rect">
          <a:avLst/>
        </a:prstGeom>
        <a:solidFill>
          <a:srgbClr val="FFC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500" b="1">
              <a:solidFill>
                <a:sysClr val="windowText" lastClr="000000"/>
              </a:solidFill>
            </a:rPr>
            <a:t>Startseite</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152400</xdr:rowOff>
        </xdr:from>
        <xdr:to>
          <xdr:col>4</xdr:col>
          <xdr:colOff>47625</xdr:colOff>
          <xdr:row>1</xdr:row>
          <xdr:rowOff>123825</xdr:rowOff>
        </xdr:to>
        <xdr:sp macro="" textlink="">
          <xdr:nvSpPr>
            <xdr:cNvPr id="8194" name="Drop Down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xdr:row>
          <xdr:rowOff>38100</xdr:rowOff>
        </xdr:from>
        <xdr:to>
          <xdr:col>4</xdr:col>
          <xdr:colOff>38100</xdr:colOff>
          <xdr:row>3</xdr:row>
          <xdr:rowOff>47625</xdr:rowOff>
        </xdr:to>
        <xdr:sp macro="" textlink="">
          <xdr:nvSpPr>
            <xdr:cNvPr id="8196" name="Scroll Bar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xdr:twoCellAnchor>
    <xdr:from>
      <xdr:col>7</xdr:col>
      <xdr:colOff>631031</xdr:colOff>
      <xdr:row>0</xdr:row>
      <xdr:rowOff>35719</xdr:rowOff>
    </xdr:from>
    <xdr:to>
      <xdr:col>10</xdr:col>
      <xdr:colOff>381000</xdr:colOff>
      <xdr:row>1</xdr:row>
      <xdr:rowOff>166688</xdr:rowOff>
    </xdr:to>
    <xdr:sp macro="" textlink="">
      <xdr:nvSpPr>
        <xdr:cNvPr id="3" name="Textfeld 2">
          <a:hlinkClick xmlns:r="http://schemas.openxmlformats.org/officeDocument/2006/relationships" r:id="rId7"/>
        </xdr:cNvPr>
        <xdr:cNvSpPr txBox="1"/>
      </xdr:nvSpPr>
      <xdr:spPr>
        <a:xfrm>
          <a:off x="5512594" y="35719"/>
          <a:ext cx="2035969" cy="381000"/>
        </a:xfrm>
        <a:prstGeom prst="rect">
          <a:avLst/>
        </a:prstGeom>
        <a:solidFill>
          <a:srgbClr val="FFC000"/>
        </a:solidFill>
        <a:ln w="254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500" b="1">
              <a:solidFill>
                <a:sysClr val="windowText" lastClr="000000"/>
              </a:solidFill>
              <a:latin typeface="+mn-lt"/>
              <a:ea typeface="+mn-ea"/>
              <a:cs typeface="+mn-cs"/>
            </a:rPr>
            <a:t>Gesamtauswertung</a:t>
          </a:r>
        </a:p>
      </xdr:txBody>
    </xdr:sp>
    <xdr:clientData/>
  </xdr:twoCellAnchor>
  <xdr:twoCellAnchor editAs="oneCell">
    <xdr:from>
      <xdr:col>5</xdr:col>
      <xdr:colOff>666750</xdr:colOff>
      <xdr:row>67</xdr:row>
      <xdr:rowOff>130969</xdr:rowOff>
    </xdr:from>
    <xdr:to>
      <xdr:col>9</xdr:col>
      <xdr:colOff>654844</xdr:colOff>
      <xdr:row>81</xdr:row>
      <xdr:rowOff>1</xdr:rowOff>
    </xdr:to>
    <xdr:pic>
      <xdr:nvPicPr>
        <xdr:cNvPr id="7" name="Grafik 6"/>
        <xdr:cNvPicPr>
          <a:picLocks noChangeAspect="1"/>
        </xdr:cNvPicPr>
      </xdr:nvPicPr>
      <xdr:blipFill rotWithShape="1">
        <a:blip xmlns:r="http://schemas.openxmlformats.org/officeDocument/2006/relationships" r:embed="rId8"/>
        <a:srcRect l="54460" t="59035" r="25616" b="11378"/>
        <a:stretch/>
      </xdr:blipFill>
      <xdr:spPr>
        <a:xfrm>
          <a:off x="4024313" y="14311313"/>
          <a:ext cx="3036094" cy="2536032"/>
        </a:xfrm>
        <a:prstGeom prst="rect">
          <a:avLst/>
        </a:prstGeom>
      </xdr:spPr>
    </xdr:pic>
    <xdr:clientData/>
  </xdr:twoCellAnchor>
  <xdr:twoCellAnchor editAs="oneCell">
    <xdr:from>
      <xdr:col>2</xdr:col>
      <xdr:colOff>535780</xdr:colOff>
      <xdr:row>86</xdr:row>
      <xdr:rowOff>59531</xdr:rowOff>
    </xdr:from>
    <xdr:to>
      <xdr:col>7</xdr:col>
      <xdr:colOff>535781</xdr:colOff>
      <xdr:row>100</xdr:row>
      <xdr:rowOff>0</xdr:rowOff>
    </xdr:to>
    <xdr:pic>
      <xdr:nvPicPr>
        <xdr:cNvPr id="13" name="Grafik 12"/>
        <xdr:cNvPicPr>
          <a:picLocks noChangeAspect="1"/>
        </xdr:cNvPicPr>
      </xdr:nvPicPr>
      <xdr:blipFill rotWithShape="1">
        <a:blip xmlns:r="http://schemas.openxmlformats.org/officeDocument/2006/relationships" r:embed="rId8"/>
        <a:srcRect l="51819" t="20168" r="23177" b="49411"/>
        <a:stretch/>
      </xdr:blipFill>
      <xdr:spPr>
        <a:xfrm>
          <a:off x="1607343" y="17859375"/>
          <a:ext cx="3810001" cy="2607469"/>
        </a:xfrm>
        <a:prstGeom prst="rect">
          <a:avLst/>
        </a:prstGeom>
      </xdr:spPr>
    </xdr:pic>
    <xdr:clientData/>
  </xdr:twoCellAnchor>
  <xdr:twoCellAnchor editAs="oneCell">
    <xdr:from>
      <xdr:col>8</xdr:col>
      <xdr:colOff>297657</xdr:colOff>
      <xdr:row>86</xdr:row>
      <xdr:rowOff>95250</xdr:rowOff>
    </xdr:from>
    <xdr:to>
      <xdr:col>13</xdr:col>
      <xdr:colOff>178595</xdr:colOff>
      <xdr:row>100</xdr:row>
      <xdr:rowOff>35719</xdr:rowOff>
    </xdr:to>
    <xdr:pic>
      <xdr:nvPicPr>
        <xdr:cNvPr id="8" name="Grafik 7"/>
        <xdr:cNvPicPr>
          <a:picLocks noChangeAspect="1"/>
        </xdr:cNvPicPr>
      </xdr:nvPicPr>
      <xdr:blipFill rotWithShape="1">
        <a:blip xmlns:r="http://schemas.openxmlformats.org/officeDocument/2006/relationships" r:embed="rId9"/>
        <a:srcRect l="52038" t="56118" r="23740" b="13461"/>
        <a:stretch/>
      </xdr:blipFill>
      <xdr:spPr>
        <a:xfrm>
          <a:off x="5941220" y="17895094"/>
          <a:ext cx="3690938" cy="26074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70</xdr:row>
          <xdr:rowOff>180975</xdr:rowOff>
        </xdr:from>
        <xdr:to>
          <xdr:col>5</xdr:col>
          <xdr:colOff>485775</xdr:colOff>
          <xdr:row>72</xdr:row>
          <xdr:rowOff>28575</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71</xdr:row>
          <xdr:rowOff>180975</xdr:rowOff>
        </xdr:from>
        <xdr:to>
          <xdr:col>5</xdr:col>
          <xdr:colOff>495300</xdr:colOff>
          <xdr:row>73</xdr:row>
          <xdr:rowOff>28575</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73</xdr:row>
          <xdr:rowOff>0</xdr:rowOff>
        </xdr:from>
        <xdr:to>
          <xdr:col>5</xdr:col>
          <xdr:colOff>495300</xdr:colOff>
          <xdr:row>74</xdr:row>
          <xdr:rowOff>28575</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73</xdr:row>
          <xdr:rowOff>180975</xdr:rowOff>
        </xdr:from>
        <xdr:to>
          <xdr:col>5</xdr:col>
          <xdr:colOff>495300</xdr:colOff>
          <xdr:row>75</xdr:row>
          <xdr:rowOff>28575</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74</xdr:row>
          <xdr:rowOff>161925</xdr:rowOff>
        </xdr:from>
        <xdr:to>
          <xdr:col>5</xdr:col>
          <xdr:colOff>495300</xdr:colOff>
          <xdr:row>76</xdr:row>
          <xdr:rowOff>0</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75</xdr:row>
          <xdr:rowOff>180975</xdr:rowOff>
        </xdr:from>
        <xdr:to>
          <xdr:col>5</xdr:col>
          <xdr:colOff>495300</xdr:colOff>
          <xdr:row>77</xdr:row>
          <xdr:rowOff>9525</xdr:rowOff>
        </xdr:to>
        <xdr:sp macro="" textlink="">
          <xdr:nvSpPr>
            <xdr:cNvPr id="4102" name="Check Box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78</xdr:row>
          <xdr:rowOff>9525</xdr:rowOff>
        </xdr:from>
        <xdr:to>
          <xdr:col>5</xdr:col>
          <xdr:colOff>533400</xdr:colOff>
          <xdr:row>79</xdr:row>
          <xdr:rowOff>38100</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78</xdr:row>
          <xdr:rowOff>180975</xdr:rowOff>
        </xdr:from>
        <xdr:to>
          <xdr:col>5</xdr:col>
          <xdr:colOff>533400</xdr:colOff>
          <xdr:row>80</xdr:row>
          <xdr:rowOff>28575</xdr:rowOff>
        </xdr:to>
        <xdr:sp macro="" textlink="">
          <xdr:nvSpPr>
            <xdr:cNvPr id="4104" name="Check Box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80</xdr:row>
          <xdr:rowOff>0</xdr:rowOff>
        </xdr:from>
        <xdr:to>
          <xdr:col>5</xdr:col>
          <xdr:colOff>533400</xdr:colOff>
          <xdr:row>81</xdr:row>
          <xdr:rowOff>28575</xdr:rowOff>
        </xdr:to>
        <xdr:sp macro="" textlink="">
          <xdr:nvSpPr>
            <xdr:cNvPr id="4105" name="Check Box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81</xdr:row>
          <xdr:rowOff>0</xdr:rowOff>
        </xdr:from>
        <xdr:to>
          <xdr:col>5</xdr:col>
          <xdr:colOff>523875</xdr:colOff>
          <xdr:row>82</xdr:row>
          <xdr:rowOff>28575</xdr:rowOff>
        </xdr:to>
        <xdr:sp macro="" textlink="">
          <xdr:nvSpPr>
            <xdr:cNvPr id="4106" name="Check Box 10"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119</xdr:row>
          <xdr:rowOff>180975</xdr:rowOff>
        </xdr:from>
        <xdr:to>
          <xdr:col>4</xdr:col>
          <xdr:colOff>542925</xdr:colOff>
          <xdr:row>121</xdr:row>
          <xdr:rowOff>9525</xdr:rowOff>
        </xdr:to>
        <xdr:sp macro="" textlink="">
          <xdr:nvSpPr>
            <xdr:cNvPr id="4107" name="Check Box 11" hidden="1">
              <a:extLst>
                <a:ext uri="{63B3BB69-23CF-44E3-9099-C40C66FF867C}">
                  <a14:compatExt spid="_x0000_s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122</xdr:row>
          <xdr:rowOff>0</xdr:rowOff>
        </xdr:from>
        <xdr:to>
          <xdr:col>4</xdr:col>
          <xdr:colOff>533400</xdr:colOff>
          <xdr:row>123</xdr:row>
          <xdr:rowOff>28575</xdr:rowOff>
        </xdr:to>
        <xdr:sp macro="" textlink="">
          <xdr:nvSpPr>
            <xdr:cNvPr id="4108" name="Check Box 12" hidden="1">
              <a:extLst>
                <a:ext uri="{63B3BB69-23CF-44E3-9099-C40C66FF867C}">
                  <a14:compatExt spid="_x0000_s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123</xdr:row>
          <xdr:rowOff>0</xdr:rowOff>
        </xdr:from>
        <xdr:to>
          <xdr:col>4</xdr:col>
          <xdr:colOff>533400</xdr:colOff>
          <xdr:row>124</xdr:row>
          <xdr:rowOff>28575</xdr:rowOff>
        </xdr:to>
        <xdr:sp macro="" textlink="">
          <xdr:nvSpPr>
            <xdr:cNvPr id="4109" name="Check Box 13" hidden="1">
              <a:extLst>
                <a:ext uri="{63B3BB69-23CF-44E3-9099-C40C66FF867C}">
                  <a14:compatExt spid="_x0000_s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123</xdr:row>
          <xdr:rowOff>180975</xdr:rowOff>
        </xdr:from>
        <xdr:to>
          <xdr:col>4</xdr:col>
          <xdr:colOff>533400</xdr:colOff>
          <xdr:row>125</xdr:row>
          <xdr:rowOff>9525</xdr:rowOff>
        </xdr:to>
        <xdr:sp macro="" textlink="">
          <xdr:nvSpPr>
            <xdr:cNvPr id="4110" name="Check Box 14" hidden="1">
              <a:extLst>
                <a:ext uri="{63B3BB69-23CF-44E3-9099-C40C66FF867C}">
                  <a14:compatExt spid="_x0000_s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120</xdr:row>
          <xdr:rowOff>180975</xdr:rowOff>
        </xdr:from>
        <xdr:to>
          <xdr:col>4</xdr:col>
          <xdr:colOff>542925</xdr:colOff>
          <xdr:row>122</xdr:row>
          <xdr:rowOff>28575</xdr:rowOff>
        </xdr:to>
        <xdr:sp macro="" textlink="">
          <xdr:nvSpPr>
            <xdr:cNvPr id="4111" name="Check Box 15" hidden="1">
              <a:extLst>
                <a:ext uri="{63B3BB69-23CF-44E3-9099-C40C66FF867C}">
                  <a14:compatExt spid="_x0000_s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124</xdr:row>
          <xdr:rowOff>180975</xdr:rowOff>
        </xdr:from>
        <xdr:to>
          <xdr:col>4</xdr:col>
          <xdr:colOff>533400</xdr:colOff>
          <xdr:row>126</xdr:row>
          <xdr:rowOff>9525</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125</xdr:row>
          <xdr:rowOff>180975</xdr:rowOff>
        </xdr:from>
        <xdr:to>
          <xdr:col>4</xdr:col>
          <xdr:colOff>533400</xdr:colOff>
          <xdr:row>127</xdr:row>
          <xdr:rowOff>9525</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127</xdr:row>
          <xdr:rowOff>0</xdr:rowOff>
        </xdr:from>
        <xdr:to>
          <xdr:col>4</xdr:col>
          <xdr:colOff>533400</xdr:colOff>
          <xdr:row>128</xdr:row>
          <xdr:rowOff>28575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128</xdr:row>
          <xdr:rowOff>180975</xdr:rowOff>
        </xdr:from>
        <xdr:to>
          <xdr:col>4</xdr:col>
          <xdr:colOff>542925</xdr:colOff>
          <xdr:row>130</xdr:row>
          <xdr:rowOff>28575</xdr:rowOff>
        </xdr:to>
        <xdr:sp macro="" textlink="">
          <xdr:nvSpPr>
            <xdr:cNvPr id="4115" name="Check Box 19" hidden="1">
              <a:extLst>
                <a:ext uri="{63B3BB69-23CF-44E3-9099-C40C66FF867C}">
                  <a14:compatExt spid="_x0000_s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133</xdr:row>
          <xdr:rowOff>180975</xdr:rowOff>
        </xdr:from>
        <xdr:to>
          <xdr:col>4</xdr:col>
          <xdr:colOff>542925</xdr:colOff>
          <xdr:row>135</xdr:row>
          <xdr:rowOff>9525</xdr:rowOff>
        </xdr:to>
        <xdr:sp macro="" textlink="">
          <xdr:nvSpPr>
            <xdr:cNvPr id="4116" name="Check Box 20" hidden="1">
              <a:extLst>
                <a:ext uri="{63B3BB69-23CF-44E3-9099-C40C66FF867C}">
                  <a14:compatExt spid="_x0000_s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134</xdr:row>
          <xdr:rowOff>180975</xdr:rowOff>
        </xdr:from>
        <xdr:to>
          <xdr:col>4</xdr:col>
          <xdr:colOff>561975</xdr:colOff>
          <xdr:row>136</xdr:row>
          <xdr:rowOff>9525</xdr:rowOff>
        </xdr:to>
        <xdr:sp macro="" textlink="">
          <xdr:nvSpPr>
            <xdr:cNvPr id="4117" name="Check Box 21" hidden="1">
              <a:extLst>
                <a:ext uri="{63B3BB69-23CF-44E3-9099-C40C66FF867C}">
                  <a14:compatExt spid="_x0000_s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135</xdr:row>
          <xdr:rowOff>180975</xdr:rowOff>
        </xdr:from>
        <xdr:to>
          <xdr:col>4</xdr:col>
          <xdr:colOff>542925</xdr:colOff>
          <xdr:row>137</xdr:row>
          <xdr:rowOff>9525</xdr:rowOff>
        </xdr:to>
        <xdr:sp macro="" textlink="">
          <xdr:nvSpPr>
            <xdr:cNvPr id="4118" name="Check Box 22" hidden="1">
              <a:extLst>
                <a:ext uri="{63B3BB69-23CF-44E3-9099-C40C66FF867C}">
                  <a14:compatExt spid="_x0000_s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137</xdr:row>
          <xdr:rowOff>0</xdr:rowOff>
        </xdr:from>
        <xdr:to>
          <xdr:col>4</xdr:col>
          <xdr:colOff>533400</xdr:colOff>
          <xdr:row>138</xdr:row>
          <xdr:rowOff>28575</xdr:rowOff>
        </xdr:to>
        <xdr:sp macro="" textlink="">
          <xdr:nvSpPr>
            <xdr:cNvPr id="4119" name="Check Box 23" hidden="1">
              <a:extLst>
                <a:ext uri="{63B3BB69-23CF-44E3-9099-C40C66FF867C}">
                  <a14:compatExt spid="_x0000_s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132</xdr:row>
          <xdr:rowOff>180975</xdr:rowOff>
        </xdr:from>
        <xdr:to>
          <xdr:col>4</xdr:col>
          <xdr:colOff>542925</xdr:colOff>
          <xdr:row>134</xdr:row>
          <xdr:rowOff>9525</xdr:rowOff>
        </xdr:to>
        <xdr:sp macro="" textlink="">
          <xdr:nvSpPr>
            <xdr:cNvPr id="4120" name="Check Box 24" hidden="1">
              <a:extLst>
                <a:ext uri="{63B3BB69-23CF-44E3-9099-C40C66FF867C}">
                  <a14:compatExt spid="_x0000_s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138</xdr:row>
          <xdr:rowOff>0</xdr:rowOff>
        </xdr:from>
        <xdr:to>
          <xdr:col>4</xdr:col>
          <xdr:colOff>533400</xdr:colOff>
          <xdr:row>139</xdr:row>
          <xdr:rowOff>28575</xdr:rowOff>
        </xdr:to>
        <xdr:sp macro="" textlink="">
          <xdr:nvSpPr>
            <xdr:cNvPr id="4121" name="Check Box 25" hidden="1">
              <a:extLst>
                <a:ext uri="{63B3BB69-23CF-44E3-9099-C40C66FF867C}">
                  <a14:compatExt spid="_x0000_s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139</xdr:row>
          <xdr:rowOff>9525</xdr:rowOff>
        </xdr:from>
        <xdr:to>
          <xdr:col>4</xdr:col>
          <xdr:colOff>533400</xdr:colOff>
          <xdr:row>140</xdr:row>
          <xdr:rowOff>38100</xdr:rowOff>
        </xdr:to>
        <xdr:sp macro="" textlink="">
          <xdr:nvSpPr>
            <xdr:cNvPr id="4122" name="Check Box 26" hidden="1">
              <a:extLst>
                <a:ext uri="{63B3BB69-23CF-44E3-9099-C40C66FF867C}">
                  <a14:compatExt spid="_x0000_s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140</xdr:row>
          <xdr:rowOff>0</xdr:rowOff>
        </xdr:from>
        <xdr:to>
          <xdr:col>4</xdr:col>
          <xdr:colOff>533400</xdr:colOff>
          <xdr:row>141</xdr:row>
          <xdr:rowOff>28575</xdr:rowOff>
        </xdr:to>
        <xdr:sp macro="" textlink="">
          <xdr:nvSpPr>
            <xdr:cNvPr id="4123" name="Check Box 27" hidden="1">
              <a:extLst>
                <a:ext uri="{63B3BB69-23CF-44E3-9099-C40C66FF867C}">
                  <a14:compatExt spid="_x0000_s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141</xdr:row>
          <xdr:rowOff>28575</xdr:rowOff>
        </xdr:from>
        <xdr:to>
          <xdr:col>4</xdr:col>
          <xdr:colOff>533400</xdr:colOff>
          <xdr:row>142</xdr:row>
          <xdr:rowOff>47625</xdr:rowOff>
        </xdr:to>
        <xdr:sp macro="" textlink="">
          <xdr:nvSpPr>
            <xdr:cNvPr id="4124" name="Check Box 28" hidden="1">
              <a:extLst>
                <a:ext uri="{63B3BB69-23CF-44E3-9099-C40C66FF867C}">
                  <a14:compatExt spid="_x0000_s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157</xdr:row>
          <xdr:rowOff>180975</xdr:rowOff>
        </xdr:from>
        <xdr:to>
          <xdr:col>4</xdr:col>
          <xdr:colOff>533400</xdr:colOff>
          <xdr:row>159</xdr:row>
          <xdr:rowOff>28575</xdr:rowOff>
        </xdr:to>
        <xdr:sp macro="" textlink="">
          <xdr:nvSpPr>
            <xdr:cNvPr id="4125" name="Check Box 29" hidden="1">
              <a:extLst>
                <a:ext uri="{63B3BB69-23CF-44E3-9099-C40C66FF867C}">
                  <a14:compatExt spid="_x0000_s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158</xdr:row>
          <xdr:rowOff>180975</xdr:rowOff>
        </xdr:from>
        <xdr:to>
          <xdr:col>4</xdr:col>
          <xdr:colOff>533400</xdr:colOff>
          <xdr:row>160</xdr:row>
          <xdr:rowOff>28575</xdr:rowOff>
        </xdr:to>
        <xdr:sp macro="" textlink="">
          <xdr:nvSpPr>
            <xdr:cNvPr id="4126" name="Check Box 30" hidden="1">
              <a:extLst>
                <a:ext uri="{63B3BB69-23CF-44E3-9099-C40C66FF867C}">
                  <a14:compatExt spid="_x0000_s4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160</xdr:row>
          <xdr:rowOff>0</xdr:rowOff>
        </xdr:from>
        <xdr:to>
          <xdr:col>4</xdr:col>
          <xdr:colOff>533400</xdr:colOff>
          <xdr:row>161</xdr:row>
          <xdr:rowOff>28575</xdr:rowOff>
        </xdr:to>
        <xdr:sp macro="" textlink="">
          <xdr:nvSpPr>
            <xdr:cNvPr id="4127" name="Check Box 31" hidden="1">
              <a:extLst>
                <a:ext uri="{63B3BB69-23CF-44E3-9099-C40C66FF867C}">
                  <a14:compatExt spid="_x0000_s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161</xdr:row>
          <xdr:rowOff>0</xdr:rowOff>
        </xdr:from>
        <xdr:to>
          <xdr:col>4</xdr:col>
          <xdr:colOff>533400</xdr:colOff>
          <xdr:row>162</xdr:row>
          <xdr:rowOff>28575</xdr:rowOff>
        </xdr:to>
        <xdr:sp macro="" textlink="">
          <xdr:nvSpPr>
            <xdr:cNvPr id="4128" name="Check Box 32" hidden="1">
              <a:extLst>
                <a:ext uri="{63B3BB69-23CF-44E3-9099-C40C66FF867C}">
                  <a14:compatExt spid="_x0000_s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161</xdr:row>
          <xdr:rowOff>180975</xdr:rowOff>
        </xdr:from>
        <xdr:to>
          <xdr:col>4</xdr:col>
          <xdr:colOff>533400</xdr:colOff>
          <xdr:row>163</xdr:row>
          <xdr:rowOff>9525</xdr:rowOff>
        </xdr:to>
        <xdr:sp macro="" textlink="">
          <xdr:nvSpPr>
            <xdr:cNvPr id="4129" name="Check Box 33" hidden="1">
              <a:extLst>
                <a:ext uri="{63B3BB69-23CF-44E3-9099-C40C66FF867C}">
                  <a14:compatExt spid="_x0000_s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162</xdr:row>
          <xdr:rowOff>180975</xdr:rowOff>
        </xdr:from>
        <xdr:to>
          <xdr:col>4</xdr:col>
          <xdr:colOff>533400</xdr:colOff>
          <xdr:row>164</xdr:row>
          <xdr:rowOff>9525</xdr:rowOff>
        </xdr:to>
        <xdr:sp macro="" textlink="">
          <xdr:nvSpPr>
            <xdr:cNvPr id="4130" name="Check Box 34" hidden="1">
              <a:extLst>
                <a:ext uri="{63B3BB69-23CF-44E3-9099-C40C66FF867C}">
                  <a14:compatExt spid="_x0000_s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163</xdr:row>
          <xdr:rowOff>180975</xdr:rowOff>
        </xdr:from>
        <xdr:to>
          <xdr:col>4</xdr:col>
          <xdr:colOff>533400</xdr:colOff>
          <xdr:row>165</xdr:row>
          <xdr:rowOff>28575</xdr:rowOff>
        </xdr:to>
        <xdr:sp macro="" textlink="">
          <xdr:nvSpPr>
            <xdr:cNvPr id="4131" name="Check Box 35" hidden="1">
              <a:extLst>
                <a:ext uri="{63B3BB69-23CF-44E3-9099-C40C66FF867C}">
                  <a14:compatExt spid="_x0000_s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164</xdr:row>
          <xdr:rowOff>180975</xdr:rowOff>
        </xdr:from>
        <xdr:to>
          <xdr:col>4</xdr:col>
          <xdr:colOff>533400</xdr:colOff>
          <xdr:row>166</xdr:row>
          <xdr:rowOff>28575</xdr:rowOff>
        </xdr:to>
        <xdr:sp macro="" textlink="">
          <xdr:nvSpPr>
            <xdr:cNvPr id="4132" name="Check Box 36" hidden="1">
              <a:extLst>
                <a:ext uri="{63B3BB69-23CF-44E3-9099-C40C66FF867C}">
                  <a14:compatExt spid="_x0000_s413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l-web.dropbox.com/Users/vinzenzmark/Dropbox/LS/LS%20Auswertung/Eingabetool/Eingabe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cintosh:Users:vinzenzmark:Dropbox:LS:LS%20Auswertung:Eingabetool:Eingabe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n 1"/>
      <sheetName val="Tabelle2"/>
      <sheetName val="Daten 1"/>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n 1"/>
    </sheetNames>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3" Type="http://schemas.openxmlformats.org/officeDocument/2006/relationships/ctrlProp" Target="../ctrlProps/ctrlProp12.xml"/><Relationship Id="rId21" Type="http://schemas.openxmlformats.org/officeDocument/2006/relationships/ctrlProp" Target="../ctrlProps/ctrlProp30.xml"/><Relationship Id="rId34" Type="http://schemas.openxmlformats.org/officeDocument/2006/relationships/ctrlProp" Target="../ctrlProps/ctrlProp43.x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38" Type="http://schemas.openxmlformats.org/officeDocument/2006/relationships/ctrlProp" Target="../ctrlProps/ctrlProp47.xml"/><Relationship Id="rId2" Type="http://schemas.openxmlformats.org/officeDocument/2006/relationships/vmlDrawing" Target="../drawings/vmlDrawing4.vml"/><Relationship Id="rId16" Type="http://schemas.openxmlformats.org/officeDocument/2006/relationships/ctrlProp" Target="../ctrlProps/ctrlProp25.xml"/><Relationship Id="rId20" Type="http://schemas.openxmlformats.org/officeDocument/2006/relationships/ctrlProp" Target="../ctrlProps/ctrlProp29.xml"/><Relationship Id="rId29" Type="http://schemas.openxmlformats.org/officeDocument/2006/relationships/ctrlProp" Target="../ctrlProps/ctrlProp38.xml"/><Relationship Id="rId1" Type="http://schemas.openxmlformats.org/officeDocument/2006/relationships/drawing" Target="../drawings/drawing6.xml"/><Relationship Id="rId6" Type="http://schemas.openxmlformats.org/officeDocument/2006/relationships/ctrlProp" Target="../ctrlProps/ctrlProp15.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37" Type="http://schemas.openxmlformats.org/officeDocument/2006/relationships/ctrlProp" Target="../ctrlProps/ctrlProp46.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36" Type="http://schemas.openxmlformats.org/officeDocument/2006/relationships/ctrlProp" Target="../ctrlProps/ctrlProp45.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 Id="rId35" Type="http://schemas.openxmlformats.org/officeDocument/2006/relationships/ctrlProp" Target="../ctrlProps/ctrlProp4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8" Type="http://schemas.openxmlformats.org/officeDocument/2006/relationships/hyperlink" Target="http://www.maxhuette-technologie.de/" TargetMode="External"/><Relationship Id="rId3" Type="http://schemas.openxmlformats.org/officeDocument/2006/relationships/hyperlink" Target="http://www.outputweb.de/" TargetMode="External"/><Relationship Id="rId7" Type="http://schemas.openxmlformats.org/officeDocument/2006/relationships/hyperlink" Target="http://www.buch-stangl.de/" TargetMode="External"/><Relationship Id="rId2" Type="http://schemas.openxmlformats.org/officeDocument/2006/relationships/hyperlink" Target="http://www.frey-centrum.de/" TargetMode="External"/><Relationship Id="rId1" Type="http://schemas.openxmlformats.org/officeDocument/2006/relationships/hyperlink" Target="http://www.horsch.com/" TargetMode="External"/><Relationship Id="rId6" Type="http://schemas.openxmlformats.org/officeDocument/2006/relationships/hyperlink" Target="http://www.constantia-hueck.com/" TargetMode="External"/><Relationship Id="rId5" Type="http://schemas.openxmlformats.org/officeDocument/2006/relationships/hyperlink" Target="http://www.gesco-biegetechnik.de/" TargetMode="External"/><Relationship Id="rId4" Type="http://schemas.openxmlformats.org/officeDocument/2006/relationships/hyperlink" Target="http://www.dorfner.de/"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3.vml"/><Relationship Id="rId1" Type="http://schemas.openxmlformats.org/officeDocument/2006/relationships/drawing" Target="../drawings/drawing5.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dimension ref="A1:AT191"/>
  <sheetViews>
    <sheetView showRowColHeaders="0" tabSelected="1" workbookViewId="0"/>
  </sheetViews>
  <sheetFormatPr baseColWidth="10" defaultRowHeight="15" x14ac:dyDescent="0.25"/>
  <cols>
    <col min="1" max="2" width="8.42578125" customWidth="1"/>
    <col min="7" max="7" width="18.140625" customWidth="1"/>
  </cols>
  <sheetData>
    <row r="1" spans="1:46" ht="10.5" customHeight="1" x14ac:dyDescent="0.25">
      <c r="A1" s="149"/>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10.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0.5"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row>
    <row r="4" spans="1:46" ht="10.5" customHeight="1" x14ac:dyDescent="0.25">
      <c r="A4" s="1"/>
      <c r="B4" s="1"/>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row>
    <row r="5" spans="1:46" x14ac:dyDescent="0.25">
      <c r="A5" s="1"/>
      <c r="B5" s="1"/>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row>
    <row r="6" spans="1:46" x14ac:dyDescent="0.25">
      <c r="A6" s="1"/>
      <c r="B6" s="1"/>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row>
    <row r="7" spans="1:46" x14ac:dyDescent="0.25">
      <c r="A7" s="1"/>
      <c r="B7" s="1"/>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row>
    <row r="8" spans="1:46" ht="23.25" x14ac:dyDescent="0.35">
      <c r="A8" s="1"/>
      <c r="B8" s="1"/>
      <c r="C8" s="93"/>
      <c r="D8" s="93"/>
      <c r="E8" s="93"/>
      <c r="F8" s="93"/>
      <c r="G8" s="97"/>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row>
    <row r="9" spans="1:46" x14ac:dyDescent="0.25">
      <c r="A9" s="1"/>
      <c r="B9" s="1"/>
      <c r="C9" s="93"/>
      <c r="D9" s="93"/>
      <c r="E9" s="93"/>
      <c r="F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row>
    <row r="10" spans="1:46" ht="23.25" x14ac:dyDescent="0.35">
      <c r="A10" s="1"/>
      <c r="B10" s="1"/>
      <c r="C10" s="93"/>
      <c r="D10" s="93"/>
      <c r="E10" s="93"/>
      <c r="F10" s="93"/>
      <c r="G10" s="97"/>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row>
    <row r="11" spans="1:46" ht="23.25" x14ac:dyDescent="0.35">
      <c r="A11" s="1"/>
      <c r="B11" s="1"/>
      <c r="C11" s="93"/>
      <c r="D11" s="93"/>
      <c r="E11" s="93"/>
      <c r="F11" s="93"/>
      <c r="G11" s="98" t="s">
        <v>1261</v>
      </c>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row>
    <row r="12" spans="1:46" x14ac:dyDescent="0.25">
      <c r="A12" s="1"/>
      <c r="B12" s="1"/>
      <c r="C12" s="93"/>
      <c r="D12" s="93"/>
      <c r="E12" s="93"/>
      <c r="F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row>
    <row r="13" spans="1:46" ht="28.5" x14ac:dyDescent="0.45">
      <c r="A13" s="1"/>
      <c r="B13" s="1"/>
      <c r="C13" s="93"/>
      <c r="D13" s="100" t="s">
        <v>1260</v>
      </c>
      <c r="E13" s="93"/>
      <c r="F13" s="93"/>
      <c r="G13" s="98" t="s">
        <v>1629</v>
      </c>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row>
    <row r="14" spans="1:46" x14ac:dyDescent="0.25">
      <c r="A14" s="1"/>
      <c r="B14" s="1"/>
      <c r="C14" s="93"/>
      <c r="D14" s="93"/>
      <c r="E14" s="93"/>
      <c r="F14" s="93"/>
      <c r="H14" s="93"/>
      <c r="I14" s="93"/>
      <c r="J14" s="93"/>
      <c r="K14" s="150"/>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row>
    <row r="15" spans="1:46" ht="23.25" x14ac:dyDescent="0.35">
      <c r="A15" s="1"/>
      <c r="B15" s="1"/>
      <c r="C15" s="93"/>
      <c r="D15" s="93"/>
      <c r="E15" s="93"/>
      <c r="F15" s="93"/>
      <c r="G15" s="98" t="s">
        <v>1253</v>
      </c>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row>
    <row r="16" spans="1:46" x14ac:dyDescent="0.25">
      <c r="A16" s="1"/>
      <c r="B16" s="1"/>
      <c r="C16" s="93"/>
      <c r="D16" s="93"/>
      <c r="E16" s="93"/>
      <c r="F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row>
    <row r="17" spans="1:46" x14ac:dyDescent="0.25">
      <c r="A17" s="1"/>
      <c r="B17" s="1"/>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row>
    <row r="18" spans="1:46" x14ac:dyDescent="0.25">
      <c r="A18" s="1"/>
      <c r="B18" s="1"/>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row>
    <row r="19" spans="1:46" x14ac:dyDescent="0.25">
      <c r="A19" s="1"/>
      <c r="B19" s="1"/>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row>
    <row r="20" spans="1:46" x14ac:dyDescent="0.25">
      <c r="A20" s="1"/>
      <c r="B20" s="1"/>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row>
    <row r="21" spans="1:46" x14ac:dyDescent="0.25">
      <c r="A21" s="1"/>
      <c r="B21" s="1"/>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row>
    <row r="22" spans="1:46" x14ac:dyDescent="0.25">
      <c r="A22" s="1"/>
      <c r="B22" s="1"/>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row>
    <row r="23" spans="1:46" x14ac:dyDescent="0.25">
      <c r="A23" s="1"/>
      <c r="B23" s="1"/>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row>
    <row r="24" spans="1:46" x14ac:dyDescent="0.25">
      <c r="A24" s="1"/>
      <c r="B24" s="1"/>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row>
    <row r="25" spans="1:46" x14ac:dyDescent="0.25">
      <c r="A25" s="1"/>
      <c r="B25" s="1"/>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row>
    <row r="26" spans="1:46" x14ac:dyDescent="0.25">
      <c r="A26" s="1"/>
      <c r="B26" s="1"/>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row>
    <row r="27" spans="1:46" x14ac:dyDescent="0.25">
      <c r="A27" s="1"/>
      <c r="B27" s="1"/>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row>
    <row r="28" spans="1:46" x14ac:dyDescent="0.25">
      <c r="A28" s="1"/>
      <c r="B28" s="1"/>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row>
    <row r="29" spans="1:46" x14ac:dyDescent="0.25">
      <c r="A29" s="1"/>
      <c r="B29" s="1"/>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row>
    <row r="30" spans="1:46" x14ac:dyDescent="0.25">
      <c r="A30" s="1"/>
      <c r="B30" s="1"/>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row>
    <row r="31" spans="1:46" x14ac:dyDescent="0.25">
      <c r="A31" s="1"/>
      <c r="B31" s="1"/>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row>
    <row r="32" spans="1:46" x14ac:dyDescent="0.25">
      <c r="A32" s="1"/>
      <c r="B32" s="1"/>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row>
    <row r="33" spans="1:46" x14ac:dyDescent="0.25">
      <c r="A33" s="1"/>
      <c r="B33" s="1"/>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row>
    <row r="34" spans="1:46" x14ac:dyDescent="0.25">
      <c r="A34" s="1"/>
      <c r="B34" s="1"/>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row>
    <row r="35" spans="1:46" x14ac:dyDescent="0.25">
      <c r="A35" s="1"/>
      <c r="B35" s="1"/>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row>
    <row r="36" spans="1:46" x14ac:dyDescent="0.25">
      <c r="A36" s="1"/>
      <c r="B36" s="1"/>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row>
    <row r="37" spans="1:46" x14ac:dyDescent="0.25">
      <c r="A37" s="1"/>
      <c r="B37" s="1"/>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row>
    <row r="38" spans="1:46" x14ac:dyDescent="0.25">
      <c r="A38" s="1"/>
      <c r="B38" s="1"/>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row>
    <row r="39" spans="1:46" x14ac:dyDescent="0.25">
      <c r="A39" s="1"/>
      <c r="B39" s="1"/>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row>
    <row r="40" spans="1:46" x14ac:dyDescent="0.25">
      <c r="A40" s="1"/>
      <c r="B40" s="1"/>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row>
    <row r="41" spans="1:46" x14ac:dyDescent="0.25">
      <c r="A41" s="1"/>
      <c r="B41" s="1"/>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row>
    <row r="42" spans="1:46" x14ac:dyDescent="0.25">
      <c r="A42" s="1"/>
      <c r="B42" s="1"/>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row>
    <row r="43" spans="1:46" x14ac:dyDescent="0.25">
      <c r="A43" s="1"/>
      <c r="B43" s="1"/>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row>
    <row r="44" spans="1:46" x14ac:dyDescent="0.25">
      <c r="A44" s="1"/>
      <c r="B44" s="1"/>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row>
    <row r="45" spans="1:46" x14ac:dyDescent="0.25">
      <c r="A45" s="1"/>
      <c r="B45" s="1"/>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row>
    <row r="46" spans="1:46" x14ac:dyDescent="0.25">
      <c r="A46" s="1"/>
      <c r="B46" s="1"/>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row>
    <row r="47" spans="1:46" x14ac:dyDescent="0.25">
      <c r="A47" s="1"/>
      <c r="B47" s="1"/>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row>
    <row r="48" spans="1:46" x14ac:dyDescent="0.25">
      <c r="A48" s="1"/>
      <c r="B48" s="1"/>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row>
    <row r="49" spans="1:46" x14ac:dyDescent="0.25">
      <c r="A49" s="1"/>
      <c r="B49" s="1"/>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row>
    <row r="50" spans="1:46" x14ac:dyDescent="0.25">
      <c r="A50" s="1"/>
      <c r="B50" s="1"/>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row>
    <row r="51" spans="1:46" x14ac:dyDescent="0.25">
      <c r="A51" s="1"/>
      <c r="B51" s="1"/>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row>
    <row r="52" spans="1:46" x14ac:dyDescent="0.25">
      <c r="A52" s="1"/>
      <c r="B52" s="1"/>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row>
    <row r="53" spans="1:46" x14ac:dyDescent="0.25">
      <c r="A53" s="1"/>
      <c r="B53" s="1"/>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row>
    <row r="54" spans="1:46" x14ac:dyDescent="0.25">
      <c r="A54" s="1"/>
      <c r="B54" s="1"/>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row>
    <row r="55" spans="1:46" x14ac:dyDescent="0.25">
      <c r="A55" s="1"/>
      <c r="B55" s="1"/>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row>
    <row r="56" spans="1:46" x14ac:dyDescent="0.25">
      <c r="A56" s="1"/>
      <c r="B56" s="1"/>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row>
    <row r="57" spans="1:46" x14ac:dyDescent="0.25">
      <c r="A57" s="1"/>
      <c r="B57" s="1"/>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row>
    <row r="58" spans="1:46" x14ac:dyDescent="0.25">
      <c r="A58" s="1"/>
      <c r="B58" s="1"/>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row>
    <row r="59" spans="1:46" x14ac:dyDescent="0.25">
      <c r="A59" s="1"/>
      <c r="B59" s="1"/>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row>
    <row r="60" spans="1:46" x14ac:dyDescent="0.25">
      <c r="A60" s="1"/>
      <c r="B60" s="1"/>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row>
    <row r="61" spans="1:46" x14ac:dyDescent="0.25">
      <c r="A61" s="1"/>
      <c r="B61" s="1"/>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row>
    <row r="62" spans="1:46" x14ac:dyDescent="0.25">
      <c r="A62" s="1"/>
      <c r="B62" s="1"/>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row>
    <row r="63" spans="1:46" x14ac:dyDescent="0.25">
      <c r="A63" s="1"/>
      <c r="B63" s="1"/>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row>
    <row r="64" spans="1:46" x14ac:dyDescent="0.25">
      <c r="A64" s="1"/>
      <c r="B64" s="1"/>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row>
    <row r="65" spans="1:46" x14ac:dyDescent="0.25">
      <c r="A65" s="1"/>
      <c r="B65" s="1"/>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row>
    <row r="66" spans="1:46" x14ac:dyDescent="0.25">
      <c r="A66" s="1"/>
      <c r="B66" s="1"/>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row>
    <row r="67" spans="1:46" x14ac:dyDescent="0.25">
      <c r="A67" s="1"/>
      <c r="B67" s="1"/>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row>
    <row r="68" spans="1:46" x14ac:dyDescent="0.25">
      <c r="A68" s="1"/>
      <c r="B68" s="1"/>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row>
    <row r="69" spans="1:46" x14ac:dyDescent="0.25">
      <c r="A69" s="1"/>
      <c r="B69" s="1"/>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row>
    <row r="70" spans="1:46" x14ac:dyDescent="0.25">
      <c r="A70" s="1"/>
      <c r="B70" s="1"/>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row>
    <row r="71" spans="1:46" x14ac:dyDescent="0.25">
      <c r="A71" s="1"/>
      <c r="B71" s="1"/>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row>
    <row r="72" spans="1:46" x14ac:dyDescent="0.25">
      <c r="A72" s="1"/>
      <c r="B72" s="1"/>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row>
    <row r="73" spans="1:46" x14ac:dyDescent="0.25">
      <c r="A73" s="1"/>
      <c r="B73" s="1"/>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row>
    <row r="74" spans="1:46" x14ac:dyDescent="0.25">
      <c r="A74" s="1"/>
      <c r="B74" s="1"/>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row>
    <row r="75" spans="1:46" x14ac:dyDescent="0.25">
      <c r="A75" s="1"/>
      <c r="B75" s="1"/>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row>
    <row r="76" spans="1:46" x14ac:dyDescent="0.25">
      <c r="A76" s="1"/>
      <c r="B76" s="1"/>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row>
    <row r="77" spans="1:46" x14ac:dyDescent="0.25">
      <c r="A77" s="1"/>
      <c r="B77" s="1"/>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row>
    <row r="78" spans="1:46" x14ac:dyDescent="0.25">
      <c r="A78" s="1"/>
      <c r="B78" s="1"/>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row>
    <row r="79" spans="1:46" x14ac:dyDescent="0.25">
      <c r="A79" s="1"/>
      <c r="B79" s="1"/>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row>
    <row r="80" spans="1:46" x14ac:dyDescent="0.25">
      <c r="A80" s="1"/>
      <c r="B80" s="1"/>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row>
    <row r="81" spans="1:46" x14ac:dyDescent="0.25">
      <c r="A81" s="1"/>
      <c r="B81" s="1"/>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row>
    <row r="82" spans="1:46" x14ac:dyDescent="0.25">
      <c r="A82" s="1"/>
      <c r="B82" s="1"/>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row>
    <row r="83" spans="1:46" x14ac:dyDescent="0.25">
      <c r="A83" s="1"/>
      <c r="B83" s="1"/>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row>
    <row r="84" spans="1:46" x14ac:dyDescent="0.25">
      <c r="A84" s="1"/>
      <c r="B84" s="1"/>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row>
    <row r="85" spans="1:46" x14ac:dyDescent="0.25">
      <c r="A85" s="1"/>
      <c r="B85" s="1"/>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row>
    <row r="86" spans="1:46" x14ac:dyDescent="0.25">
      <c r="A86" s="1"/>
      <c r="B86" s="1"/>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row>
    <row r="87" spans="1:46" x14ac:dyDescent="0.25">
      <c r="A87" s="1"/>
      <c r="B87" s="1"/>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row>
    <row r="88" spans="1:46" x14ac:dyDescent="0.25">
      <c r="A88" s="1"/>
      <c r="B88" s="1"/>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row>
    <row r="89" spans="1:46" x14ac:dyDescent="0.25">
      <c r="A89" s="1"/>
      <c r="B89" s="1"/>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row>
    <row r="90" spans="1:46" x14ac:dyDescent="0.25">
      <c r="A90" s="1"/>
      <c r="B90" s="1"/>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row>
    <row r="91" spans="1:46" x14ac:dyDescent="0.25">
      <c r="A91" s="1"/>
      <c r="B91" s="1"/>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row>
    <row r="92" spans="1:46" x14ac:dyDescent="0.25">
      <c r="A92" s="1"/>
      <c r="B92" s="1"/>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row>
    <row r="93" spans="1:46" x14ac:dyDescent="0.25">
      <c r="A93" s="1"/>
      <c r="B93" s="1"/>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row>
    <row r="94" spans="1:46" x14ac:dyDescent="0.25">
      <c r="A94" s="1"/>
      <c r="B94" s="1"/>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row>
    <row r="95" spans="1:46" x14ac:dyDescent="0.25">
      <c r="A95" s="1"/>
      <c r="B95" s="1"/>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row>
    <row r="96" spans="1:46" x14ac:dyDescent="0.25">
      <c r="A96" s="1"/>
      <c r="B96" s="1"/>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row>
    <row r="97" spans="1:46" x14ac:dyDescent="0.25">
      <c r="A97" s="1"/>
      <c r="B97" s="1"/>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row>
    <row r="98" spans="1:46" x14ac:dyDescent="0.25">
      <c r="A98" s="1"/>
      <c r="B98" s="1"/>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row>
    <row r="99" spans="1:46" x14ac:dyDescent="0.25">
      <c r="A99" s="1"/>
      <c r="B99" s="1"/>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row>
    <row r="100" spans="1:46" x14ac:dyDescent="0.25">
      <c r="A100" s="1"/>
      <c r="B100" s="1"/>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row>
    <row r="101" spans="1:46" x14ac:dyDescent="0.25">
      <c r="A101" s="1"/>
      <c r="B101" s="1"/>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row>
    <row r="102" spans="1:46" x14ac:dyDescent="0.25">
      <c r="A102" s="1"/>
      <c r="B102" s="1"/>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row>
    <row r="103" spans="1:46" x14ac:dyDescent="0.25">
      <c r="A103" s="1"/>
      <c r="B103" s="1"/>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row>
    <row r="104" spans="1:46" x14ac:dyDescent="0.25">
      <c r="A104" s="1"/>
      <c r="B104" s="1"/>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row>
    <row r="105" spans="1:46" x14ac:dyDescent="0.25">
      <c r="A105" s="1"/>
      <c r="B105" s="1"/>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row>
    <row r="106" spans="1:46" x14ac:dyDescent="0.25">
      <c r="A106" s="1"/>
      <c r="B106" s="1"/>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row>
    <row r="107" spans="1:46" x14ac:dyDescent="0.25">
      <c r="A107" s="1"/>
      <c r="B107" s="1"/>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row>
    <row r="108" spans="1:46" x14ac:dyDescent="0.25">
      <c r="A108" s="1"/>
      <c r="B108" s="1"/>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row>
    <row r="109" spans="1:46" x14ac:dyDescent="0.25">
      <c r="A109" s="1"/>
      <c r="B109" s="1"/>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row>
    <row r="110" spans="1:46" x14ac:dyDescent="0.25">
      <c r="A110" s="1"/>
      <c r="B110" s="1"/>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row>
    <row r="111" spans="1:46" x14ac:dyDescent="0.25">
      <c r="A111" s="1"/>
      <c r="B111" s="1"/>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row>
    <row r="112" spans="1:46" x14ac:dyDescent="0.25">
      <c r="A112" s="1"/>
      <c r="B112" s="1"/>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row>
    <row r="113" spans="1:46" x14ac:dyDescent="0.25">
      <c r="A113" s="1"/>
      <c r="B113" s="1"/>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row>
    <row r="114" spans="1:46" x14ac:dyDescent="0.25">
      <c r="A114" s="1"/>
      <c r="B114" s="1"/>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row>
    <row r="115" spans="1:46" x14ac:dyDescent="0.25">
      <c r="A115" s="1"/>
      <c r="B115" s="1"/>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row>
    <row r="116" spans="1:46" x14ac:dyDescent="0.25">
      <c r="A116" s="1"/>
      <c r="B116" s="1"/>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row>
    <row r="117" spans="1:46" x14ac:dyDescent="0.25">
      <c r="A117" s="1"/>
      <c r="B117" s="1"/>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row>
    <row r="118" spans="1:46" x14ac:dyDescent="0.25">
      <c r="A118" s="1"/>
      <c r="B118" s="1"/>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row>
    <row r="119" spans="1:46" x14ac:dyDescent="0.25">
      <c r="A119" s="1"/>
      <c r="B119" s="1"/>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row>
    <row r="120" spans="1:46" x14ac:dyDescent="0.25">
      <c r="A120" s="1"/>
      <c r="B120" s="1"/>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row>
    <row r="121" spans="1:46" x14ac:dyDescent="0.25">
      <c r="A121" s="1"/>
      <c r="B121" s="1"/>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row>
    <row r="122" spans="1:46" x14ac:dyDescent="0.25">
      <c r="A122" s="1"/>
      <c r="B122" s="1"/>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row>
    <row r="123" spans="1:46" x14ac:dyDescent="0.25">
      <c r="A123" s="1"/>
      <c r="B123" s="1"/>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row>
    <row r="124" spans="1:46" x14ac:dyDescent="0.25">
      <c r="A124" s="1"/>
      <c r="B124" s="1"/>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row>
    <row r="125" spans="1:46" x14ac:dyDescent="0.25">
      <c r="A125" s="1"/>
      <c r="B125" s="1"/>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row>
    <row r="126" spans="1:46" x14ac:dyDescent="0.25">
      <c r="A126" s="1"/>
      <c r="B126" s="1"/>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row>
    <row r="127" spans="1:46" x14ac:dyDescent="0.25">
      <c r="A127" s="1"/>
      <c r="B127" s="1"/>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row>
    <row r="128" spans="1:46" x14ac:dyDescent="0.25">
      <c r="A128" s="1"/>
      <c r="B128" s="1"/>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row>
    <row r="129" spans="1:46" x14ac:dyDescent="0.25">
      <c r="A129" s="1"/>
      <c r="B129" s="1"/>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row>
    <row r="130" spans="1:46" x14ac:dyDescent="0.25">
      <c r="A130" s="1"/>
      <c r="B130" s="1"/>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row>
    <row r="131" spans="1:46" x14ac:dyDescent="0.25">
      <c r="A131" s="1"/>
      <c r="B131" s="1"/>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row>
    <row r="132" spans="1:46" x14ac:dyDescent="0.25">
      <c r="A132" s="1"/>
      <c r="B132" s="1"/>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row>
    <row r="133" spans="1:46" x14ac:dyDescent="0.25">
      <c r="A133" s="1"/>
      <c r="B133" s="1"/>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row>
    <row r="134" spans="1:46" x14ac:dyDescent="0.25">
      <c r="A134" s="1"/>
      <c r="B134" s="1"/>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row>
    <row r="135" spans="1:46" x14ac:dyDescent="0.25">
      <c r="A135" s="1"/>
      <c r="B135" s="1"/>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row>
    <row r="136" spans="1:46" x14ac:dyDescent="0.25">
      <c r="A136" s="1"/>
      <c r="B136" s="1"/>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row>
    <row r="137" spans="1:46" x14ac:dyDescent="0.25">
      <c r="A137" s="1"/>
      <c r="B137" s="1"/>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row>
    <row r="138" spans="1:46" x14ac:dyDescent="0.25">
      <c r="A138" s="1"/>
      <c r="B138" s="1"/>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row>
    <row r="139" spans="1:46" x14ac:dyDescent="0.25">
      <c r="A139" s="1"/>
      <c r="B139" s="1"/>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row>
    <row r="140" spans="1:46" x14ac:dyDescent="0.25">
      <c r="A140" s="1"/>
      <c r="B140" s="1"/>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row>
    <row r="141" spans="1:46" x14ac:dyDescent="0.25">
      <c r="A141" s="1"/>
      <c r="B141" s="1"/>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row>
    <row r="142" spans="1:46" x14ac:dyDescent="0.25">
      <c r="A142" s="1"/>
      <c r="B142" s="1"/>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row>
    <row r="143" spans="1:46" x14ac:dyDescent="0.25">
      <c r="A143" s="1"/>
      <c r="B143" s="1"/>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row>
    <row r="144" spans="1:46" x14ac:dyDescent="0.25">
      <c r="A144" s="1"/>
      <c r="B144" s="1"/>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row>
    <row r="145" spans="1:46" x14ac:dyDescent="0.25">
      <c r="A145" s="1"/>
      <c r="B145" s="1"/>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row>
    <row r="146" spans="1:46" x14ac:dyDescent="0.25">
      <c r="A146" s="1"/>
      <c r="B146" s="1"/>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row>
    <row r="147" spans="1:46" x14ac:dyDescent="0.25">
      <c r="A147" s="1"/>
      <c r="B147" s="1"/>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row>
    <row r="148" spans="1:46" x14ac:dyDescent="0.25">
      <c r="A148" s="1"/>
      <c r="B148" s="1"/>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row>
    <row r="149" spans="1:46" x14ac:dyDescent="0.25">
      <c r="A149" s="1"/>
      <c r="B149" s="1"/>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row>
    <row r="150" spans="1:46" x14ac:dyDescent="0.25">
      <c r="A150" s="1"/>
      <c r="B150" s="1"/>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row>
    <row r="151" spans="1:46" x14ac:dyDescent="0.25">
      <c r="A151" s="1"/>
      <c r="B151" s="1"/>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row>
    <row r="152" spans="1:46" x14ac:dyDescent="0.25">
      <c r="A152" s="1"/>
      <c r="B152" s="1"/>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row>
    <row r="153" spans="1:46" x14ac:dyDescent="0.25">
      <c r="A153" s="1"/>
      <c r="B153" s="1"/>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row>
    <row r="154" spans="1:46" x14ac:dyDescent="0.25">
      <c r="A154" s="1"/>
      <c r="B154" s="1"/>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row>
    <row r="155" spans="1:46" x14ac:dyDescent="0.25">
      <c r="A155" s="1"/>
      <c r="B155" s="1"/>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row>
    <row r="156" spans="1:46" x14ac:dyDescent="0.25">
      <c r="A156" s="1"/>
      <c r="B156" s="1"/>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row>
    <row r="157" spans="1:46" x14ac:dyDescent="0.25">
      <c r="A157" s="1"/>
      <c r="B157" s="1"/>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row>
    <row r="158" spans="1:46" x14ac:dyDescent="0.25">
      <c r="A158" s="1"/>
      <c r="B158" s="1"/>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row>
    <row r="159" spans="1:46" x14ac:dyDescent="0.25">
      <c r="A159" s="1"/>
      <c r="B159" s="1"/>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row>
    <row r="160" spans="1:46" x14ac:dyDescent="0.25">
      <c r="A160" s="1"/>
      <c r="B160" s="1"/>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row>
    <row r="161" spans="1:46" x14ac:dyDescent="0.25">
      <c r="A161" s="1"/>
      <c r="B161" s="1"/>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row>
    <row r="162" spans="1:46" x14ac:dyDescent="0.25">
      <c r="A162" s="1"/>
      <c r="B162" s="1"/>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row>
    <row r="163" spans="1:46" x14ac:dyDescent="0.25">
      <c r="A163" s="1"/>
      <c r="B163" s="1"/>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row>
    <row r="164" spans="1:46" x14ac:dyDescent="0.25">
      <c r="A164" s="1"/>
      <c r="B164" s="1"/>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row>
    <row r="165" spans="1:46" x14ac:dyDescent="0.25">
      <c r="A165" s="1"/>
      <c r="B165" s="1"/>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row>
    <row r="166" spans="1:46" x14ac:dyDescent="0.25">
      <c r="A166" s="1"/>
      <c r="B166" s="1"/>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row>
    <row r="167" spans="1:46" x14ac:dyDescent="0.25">
      <c r="A167" s="1"/>
      <c r="B167" s="1"/>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row>
    <row r="168" spans="1:46" x14ac:dyDescent="0.25">
      <c r="A168" s="1"/>
      <c r="B168" s="1"/>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row>
    <row r="169" spans="1:46" x14ac:dyDescent="0.25">
      <c r="A169" s="1"/>
      <c r="B169" s="1"/>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row>
    <row r="170" spans="1:46" x14ac:dyDescent="0.25">
      <c r="A170" s="1"/>
      <c r="B170" s="1"/>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row>
    <row r="171" spans="1:46" x14ac:dyDescent="0.25">
      <c r="A171" s="1"/>
      <c r="B171" s="1"/>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row>
    <row r="172" spans="1:46" x14ac:dyDescent="0.25">
      <c r="A172" s="1"/>
      <c r="B172" s="1"/>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row>
    <row r="173" spans="1:46" x14ac:dyDescent="0.25">
      <c r="A173" s="1"/>
      <c r="B173" s="1"/>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row>
    <row r="174" spans="1:46" x14ac:dyDescent="0.25">
      <c r="A174" s="1"/>
      <c r="B174" s="1"/>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row>
    <row r="175" spans="1:46" x14ac:dyDescent="0.25">
      <c r="A175" s="1"/>
      <c r="B175" s="1"/>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row>
    <row r="176" spans="1:46" x14ac:dyDescent="0.25">
      <c r="A176" s="1"/>
      <c r="B176" s="1"/>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row>
    <row r="177" spans="1:46" x14ac:dyDescent="0.25">
      <c r="A177" s="1"/>
      <c r="B177" s="1"/>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row>
    <row r="178" spans="1:46" x14ac:dyDescent="0.25">
      <c r="A178" s="1"/>
      <c r="B178" s="1"/>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row>
    <row r="179" spans="1:46" x14ac:dyDescent="0.25">
      <c r="A179" s="1"/>
      <c r="B179" s="1"/>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row>
    <row r="180" spans="1:46" x14ac:dyDescent="0.25">
      <c r="A180" s="1"/>
      <c r="B180" s="1"/>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row>
    <row r="181" spans="1:46" x14ac:dyDescent="0.25">
      <c r="A181" s="1"/>
      <c r="B181" s="1"/>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row>
    <row r="182" spans="1:46" x14ac:dyDescent="0.25">
      <c r="A182" s="1"/>
      <c r="B182" s="1"/>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row>
    <row r="183" spans="1:46" x14ac:dyDescent="0.25">
      <c r="A183" s="1"/>
      <c r="B183" s="1"/>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row>
    <row r="184" spans="1:46" x14ac:dyDescent="0.25">
      <c r="A184" s="1"/>
      <c r="B184" s="1"/>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row>
    <row r="185" spans="1:46" x14ac:dyDescent="0.25">
      <c r="A185" s="1"/>
      <c r="B185" s="1"/>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row>
    <row r="186" spans="1:46" x14ac:dyDescent="0.25">
      <c r="A186" s="1"/>
      <c r="B186" s="1"/>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row>
    <row r="187" spans="1:46" x14ac:dyDescent="0.25">
      <c r="A187" s="1"/>
      <c r="B187" s="1"/>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row>
    <row r="188" spans="1:46" x14ac:dyDescent="0.25">
      <c r="A188" s="1"/>
      <c r="B188" s="1"/>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row>
    <row r="189" spans="1:46" x14ac:dyDescent="0.25">
      <c r="A189" s="1"/>
      <c r="B189" s="1"/>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row>
    <row r="190" spans="1:46" x14ac:dyDescent="0.25">
      <c r="A190" s="1"/>
      <c r="B190" s="1"/>
      <c r="C190" s="93"/>
      <c r="D190" s="93"/>
      <c r="E190" s="93"/>
      <c r="F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row>
    <row r="191" spans="1:46" x14ac:dyDescent="0.25">
      <c r="A191" s="1"/>
      <c r="B191" s="1"/>
    </row>
  </sheetData>
  <sheetProtection password="A8F5" sheet="1" objects="1" scenarios="1"/>
  <hyperlinks>
    <hyperlink ref="G11" location="Fokus1!A1" display="Fokus 1"/>
    <hyperlink ref="G13" location="'Fokus 3'!A1" display="Firmen der Region"/>
    <hyperlink ref="G15" location="Diagramme!A1" display="Diagramme"/>
  </hyperlinks>
  <pageMargins left="0.7" right="0.7" top="0.78740157499999996" bottom="0.78740157499999996" header="0.3" footer="0.3"/>
  <pageSetup paperSize="9" orientation="portrait" horizontalDpi="1200" verticalDpi="120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enableFormatConditionsCalculation="0"/>
  <dimension ref="A1:DO179"/>
  <sheetViews>
    <sheetView topLeftCell="B148" workbookViewId="0">
      <selection activeCell="D169" sqref="D169"/>
    </sheetView>
  </sheetViews>
  <sheetFormatPr baseColWidth="10" defaultColWidth="10.85546875" defaultRowHeight="15.75" x14ac:dyDescent="0.25"/>
  <cols>
    <col min="1" max="1" width="10.85546875" style="37" hidden="1" customWidth="1"/>
    <col min="2" max="2" width="4.140625" style="37" bestFit="1" customWidth="1"/>
    <col min="3" max="3" width="0.28515625" style="37" customWidth="1"/>
    <col min="4" max="4" width="106.140625" style="37" customWidth="1"/>
    <col min="5" max="16384" width="10.85546875" style="37"/>
  </cols>
  <sheetData>
    <row r="1" spans="2:119" x14ac:dyDescent="0.25">
      <c r="B1" s="54"/>
    </row>
    <row r="2" spans="2:119" x14ac:dyDescent="0.25">
      <c r="B2" s="54"/>
    </row>
    <row r="3" spans="2:119" x14ac:dyDescent="0.25">
      <c r="B3" s="54"/>
    </row>
    <row r="4" spans="2:119" x14ac:dyDescent="0.25">
      <c r="B4" s="54"/>
    </row>
    <row r="5" spans="2:119" x14ac:dyDescent="0.25">
      <c r="B5" s="54"/>
    </row>
    <row r="6" spans="2:119" x14ac:dyDescent="0.25">
      <c r="B6" s="54"/>
      <c r="D6" s="47" t="s">
        <v>1</v>
      </c>
    </row>
    <row r="7" spans="2:119" x14ac:dyDescent="0.25">
      <c r="B7" s="46"/>
      <c r="D7" s="103" t="s">
        <v>1626</v>
      </c>
    </row>
    <row r="8" spans="2:119" x14ac:dyDescent="0.25">
      <c r="B8" s="46">
        <v>1</v>
      </c>
      <c r="D8" s="47" t="s">
        <v>2</v>
      </c>
      <c r="E8" s="38"/>
    </row>
    <row r="9" spans="2:119" x14ac:dyDescent="0.25">
      <c r="B9" s="46"/>
    </row>
    <row r="10" spans="2:119" x14ac:dyDescent="0.25">
      <c r="B10" s="46">
        <v>2</v>
      </c>
      <c r="D10" s="47" t="s">
        <v>3</v>
      </c>
      <c r="E10" s="38"/>
    </row>
    <row r="11" spans="2:119" x14ac:dyDescent="0.25">
      <c r="B11" s="46"/>
    </row>
    <row r="12" spans="2:119" x14ac:dyDescent="0.25">
      <c r="B12" s="46"/>
      <c r="D12" s="47" t="s">
        <v>4</v>
      </c>
    </row>
    <row r="13" spans="2:119" x14ac:dyDescent="0.25">
      <c r="B13" s="46">
        <v>3</v>
      </c>
      <c r="D13" s="37" t="s">
        <v>5</v>
      </c>
      <c r="E13" s="38"/>
    </row>
    <row r="14" spans="2:119" x14ac:dyDescent="0.25">
      <c r="B14" s="46">
        <v>4</v>
      </c>
      <c r="D14" s="37" t="s">
        <v>6</v>
      </c>
      <c r="E14" s="38"/>
    </row>
    <row r="15" spans="2:119" x14ac:dyDescent="0.25">
      <c r="B15" s="46">
        <v>5</v>
      </c>
      <c r="D15" s="37" t="s">
        <v>7</v>
      </c>
      <c r="E15" s="38"/>
      <c r="G15" s="37">
        <v>1</v>
      </c>
      <c r="H15" s="37">
        <v>2</v>
      </c>
      <c r="I15" s="37">
        <v>3</v>
      </c>
      <c r="J15" s="37">
        <v>4</v>
      </c>
      <c r="K15" s="37">
        <v>5</v>
      </c>
      <c r="L15" s="37">
        <v>6</v>
      </c>
      <c r="M15" s="37">
        <v>7</v>
      </c>
      <c r="N15" s="37">
        <v>8</v>
      </c>
      <c r="O15" s="37">
        <v>9</v>
      </c>
      <c r="P15" s="37">
        <v>10</v>
      </c>
      <c r="Q15" s="37">
        <v>11</v>
      </c>
      <c r="R15" s="37">
        <v>12</v>
      </c>
      <c r="S15" s="37">
        <v>13</v>
      </c>
      <c r="T15" s="37">
        <v>14</v>
      </c>
      <c r="U15" s="37">
        <v>15</v>
      </c>
      <c r="V15" s="37" t="s">
        <v>843</v>
      </c>
      <c r="W15" s="37" t="s">
        <v>842</v>
      </c>
      <c r="X15" s="37">
        <v>16</v>
      </c>
      <c r="Y15" s="37">
        <v>17</v>
      </c>
      <c r="Z15" s="37">
        <v>18</v>
      </c>
      <c r="AA15" s="37">
        <v>19</v>
      </c>
      <c r="AB15" s="37">
        <v>20</v>
      </c>
      <c r="AC15" s="37">
        <v>21</v>
      </c>
      <c r="AD15" s="37">
        <v>22</v>
      </c>
      <c r="AE15" s="37">
        <v>23</v>
      </c>
      <c r="AF15" s="37">
        <v>24</v>
      </c>
      <c r="AG15" s="37">
        <v>25</v>
      </c>
      <c r="AH15" s="37">
        <v>26</v>
      </c>
      <c r="AI15" s="37">
        <v>27</v>
      </c>
      <c r="AJ15" s="37">
        <v>28</v>
      </c>
      <c r="AK15" s="37">
        <v>29</v>
      </c>
      <c r="AL15" s="37">
        <v>30</v>
      </c>
      <c r="AM15" s="37">
        <v>31</v>
      </c>
      <c r="AN15" s="37">
        <v>32</v>
      </c>
      <c r="AO15" s="37">
        <v>33</v>
      </c>
      <c r="AP15" s="37">
        <v>34</v>
      </c>
      <c r="AQ15" s="37">
        <v>35</v>
      </c>
      <c r="AR15" s="37">
        <v>36</v>
      </c>
      <c r="AS15" s="37">
        <v>37</v>
      </c>
      <c r="AT15" s="37">
        <v>38</v>
      </c>
      <c r="AU15" s="37">
        <v>39</v>
      </c>
      <c r="AV15" s="37">
        <v>40</v>
      </c>
      <c r="AW15" s="37">
        <v>41</v>
      </c>
      <c r="AX15" s="37">
        <v>42</v>
      </c>
      <c r="AY15" s="37">
        <v>43</v>
      </c>
      <c r="AZ15" s="37">
        <v>44</v>
      </c>
      <c r="BA15" s="37">
        <v>45</v>
      </c>
      <c r="BB15" s="37">
        <v>46</v>
      </c>
      <c r="BC15" s="37">
        <v>47</v>
      </c>
      <c r="BD15" s="37">
        <v>48</v>
      </c>
      <c r="BE15" s="37">
        <v>49</v>
      </c>
      <c r="BF15" s="37">
        <v>50</v>
      </c>
      <c r="BG15" s="37">
        <v>51</v>
      </c>
      <c r="BH15" s="37">
        <v>52</v>
      </c>
      <c r="BI15" s="37">
        <v>53</v>
      </c>
      <c r="BJ15" s="37">
        <v>54</v>
      </c>
      <c r="BK15" s="37">
        <v>55</v>
      </c>
      <c r="BL15" s="37">
        <v>56</v>
      </c>
      <c r="BM15" s="37">
        <v>57</v>
      </c>
      <c r="BN15" s="37">
        <v>58</v>
      </c>
      <c r="BO15" s="37">
        <v>59</v>
      </c>
      <c r="BP15" s="37">
        <v>60</v>
      </c>
      <c r="BQ15" s="37">
        <v>61</v>
      </c>
      <c r="BR15" s="37">
        <v>62</v>
      </c>
      <c r="BS15" s="37">
        <v>63</v>
      </c>
      <c r="BT15" s="37">
        <v>64</v>
      </c>
      <c r="BU15" s="37">
        <v>65</v>
      </c>
      <c r="BV15" s="37">
        <v>66</v>
      </c>
      <c r="BW15" s="37">
        <v>67</v>
      </c>
      <c r="BX15" s="37">
        <v>68</v>
      </c>
      <c r="BY15" s="37">
        <v>69</v>
      </c>
      <c r="BZ15" s="37">
        <v>70</v>
      </c>
      <c r="CA15" s="37">
        <v>71</v>
      </c>
      <c r="CB15" s="37">
        <v>72</v>
      </c>
      <c r="CC15" s="37">
        <v>73</v>
      </c>
      <c r="CD15" s="37">
        <v>74</v>
      </c>
      <c r="CE15" s="37">
        <v>75</v>
      </c>
      <c r="CF15" s="37">
        <v>76</v>
      </c>
      <c r="CG15" s="37">
        <v>77</v>
      </c>
      <c r="CH15" s="37">
        <v>78</v>
      </c>
      <c r="CI15" s="37">
        <v>79</v>
      </c>
      <c r="CJ15" s="37">
        <v>80</v>
      </c>
      <c r="CK15" s="37">
        <v>81</v>
      </c>
      <c r="CL15" s="37">
        <v>82</v>
      </c>
      <c r="CM15" s="37">
        <v>83</v>
      </c>
      <c r="CN15" s="37">
        <v>84</v>
      </c>
      <c r="CO15" s="37">
        <v>85</v>
      </c>
      <c r="CP15" s="37">
        <v>86</v>
      </c>
      <c r="CQ15" s="37">
        <v>87</v>
      </c>
      <c r="CR15" s="37">
        <v>88</v>
      </c>
      <c r="CS15" s="37">
        <v>89</v>
      </c>
      <c r="CT15" s="37">
        <v>90</v>
      </c>
      <c r="CU15" s="37">
        <v>91</v>
      </c>
      <c r="CV15" s="37">
        <v>88</v>
      </c>
      <c r="CW15" s="37">
        <v>89</v>
      </c>
      <c r="CX15" s="37">
        <v>90</v>
      </c>
      <c r="CY15" s="37">
        <v>91</v>
      </c>
      <c r="CZ15" s="37">
        <v>92</v>
      </c>
      <c r="DA15" s="37">
        <v>93</v>
      </c>
      <c r="DB15" s="37">
        <v>94</v>
      </c>
      <c r="DC15" s="37">
        <v>95</v>
      </c>
      <c r="DD15" s="37">
        <v>96</v>
      </c>
      <c r="DE15" s="37">
        <v>97</v>
      </c>
      <c r="DF15" s="37">
        <v>98</v>
      </c>
      <c r="DG15" s="37">
        <v>99</v>
      </c>
      <c r="DH15" s="37">
        <v>100</v>
      </c>
      <c r="DI15" s="37">
        <v>101</v>
      </c>
      <c r="DJ15" s="37">
        <v>102</v>
      </c>
      <c r="DK15" s="37">
        <v>103</v>
      </c>
      <c r="DL15" s="37">
        <v>104</v>
      </c>
      <c r="DM15" s="37">
        <v>105</v>
      </c>
      <c r="DN15" s="37">
        <v>106</v>
      </c>
      <c r="DO15" s="37">
        <v>107</v>
      </c>
    </row>
    <row r="16" spans="2:119" x14ac:dyDescent="0.25">
      <c r="B16" s="46">
        <v>6</v>
      </c>
      <c r="D16" s="37" t="s">
        <v>8</v>
      </c>
      <c r="E16" s="38"/>
      <c r="G16" s="37" t="s">
        <v>911</v>
      </c>
      <c r="H16" s="37" t="s">
        <v>912</v>
      </c>
      <c r="I16" s="37" t="s">
        <v>913</v>
      </c>
      <c r="J16" s="37" t="s">
        <v>914</v>
      </c>
      <c r="K16" s="37" t="s">
        <v>915</v>
      </c>
      <c r="L16" s="37" t="s">
        <v>916</v>
      </c>
      <c r="M16" s="37" t="s">
        <v>917</v>
      </c>
      <c r="N16" s="37" t="s">
        <v>918</v>
      </c>
      <c r="O16" s="37" t="s">
        <v>919</v>
      </c>
      <c r="P16" s="37" t="s">
        <v>920</v>
      </c>
      <c r="Q16" s="37" t="s">
        <v>921</v>
      </c>
      <c r="R16" s="37" t="s">
        <v>922</v>
      </c>
      <c r="S16" s="37" t="s">
        <v>923</v>
      </c>
      <c r="T16" s="37" t="s">
        <v>924</v>
      </c>
      <c r="U16" s="37" t="s">
        <v>925</v>
      </c>
      <c r="V16" s="37" t="s">
        <v>926</v>
      </c>
      <c r="W16" s="37" t="s">
        <v>927</v>
      </c>
      <c r="X16" s="37" t="s">
        <v>928</v>
      </c>
      <c r="Y16" s="37" t="s">
        <v>929</v>
      </c>
      <c r="Z16" s="37" t="s">
        <v>930</v>
      </c>
      <c r="AA16" s="37" t="s">
        <v>931</v>
      </c>
      <c r="AB16" s="37" t="s">
        <v>932</v>
      </c>
      <c r="AC16" s="37" t="s">
        <v>933</v>
      </c>
      <c r="AD16" s="37" t="s">
        <v>934</v>
      </c>
      <c r="AE16" s="37" t="s">
        <v>935</v>
      </c>
      <c r="AF16" s="37" t="s">
        <v>936</v>
      </c>
      <c r="AG16" s="37" t="s">
        <v>937</v>
      </c>
      <c r="AH16" s="37" t="s">
        <v>938</v>
      </c>
      <c r="AI16" s="37" t="s">
        <v>939</v>
      </c>
      <c r="AJ16" s="37" t="s">
        <v>940</v>
      </c>
      <c r="AK16" s="37" t="s">
        <v>941</v>
      </c>
      <c r="AL16" s="37" t="s">
        <v>942</v>
      </c>
      <c r="AM16" s="37" t="s">
        <v>943</v>
      </c>
      <c r="AN16" s="37" t="s">
        <v>944</v>
      </c>
      <c r="AO16" s="37" t="s">
        <v>945</v>
      </c>
      <c r="AP16" s="37" t="s">
        <v>946</v>
      </c>
      <c r="AQ16" s="37" t="s">
        <v>947</v>
      </c>
      <c r="AR16" s="37" t="s">
        <v>948</v>
      </c>
      <c r="AS16" s="37" t="s">
        <v>949</v>
      </c>
      <c r="AT16" s="37" t="s">
        <v>950</v>
      </c>
      <c r="AU16" s="37" t="s">
        <v>951</v>
      </c>
      <c r="AV16" s="37" t="s">
        <v>952</v>
      </c>
      <c r="AW16" s="37" t="s">
        <v>953</v>
      </c>
      <c r="AX16" s="37" t="s">
        <v>954</v>
      </c>
      <c r="AY16" s="37" t="s">
        <v>955</v>
      </c>
      <c r="AZ16" s="37" t="s">
        <v>956</v>
      </c>
      <c r="BA16" s="37" t="s">
        <v>957</v>
      </c>
      <c r="BB16" s="37" t="s">
        <v>958</v>
      </c>
      <c r="BC16" s="37" t="s">
        <v>959</v>
      </c>
      <c r="BD16" s="37" t="s">
        <v>960</v>
      </c>
      <c r="BE16" s="37" t="s">
        <v>961</v>
      </c>
      <c r="BF16" s="37" t="s">
        <v>962</v>
      </c>
      <c r="BG16" s="37" t="s">
        <v>963</v>
      </c>
      <c r="BH16" s="37" t="s">
        <v>964</v>
      </c>
      <c r="BI16" s="37" t="s">
        <v>965</v>
      </c>
      <c r="BJ16" s="37" t="s">
        <v>966</v>
      </c>
      <c r="BK16" s="37" t="s">
        <v>967</v>
      </c>
      <c r="BL16" s="37" t="s">
        <v>968</v>
      </c>
      <c r="BM16" s="37" t="s">
        <v>969</v>
      </c>
      <c r="BN16" s="37" t="s">
        <v>970</v>
      </c>
      <c r="BO16" s="37" t="s">
        <v>971</v>
      </c>
      <c r="BP16" s="37" t="s">
        <v>972</v>
      </c>
      <c r="BQ16" s="37" t="s">
        <v>973</v>
      </c>
      <c r="BR16" s="37" t="s">
        <v>974</v>
      </c>
      <c r="BS16" s="37" t="s">
        <v>975</v>
      </c>
      <c r="BT16" s="37" t="s">
        <v>976</v>
      </c>
      <c r="BU16" s="37" t="s">
        <v>977</v>
      </c>
      <c r="BV16" s="37" t="s">
        <v>978</v>
      </c>
      <c r="BW16" s="37" t="s">
        <v>979</v>
      </c>
      <c r="BX16" s="37" t="s">
        <v>980</v>
      </c>
      <c r="BY16" s="37" t="s">
        <v>981</v>
      </c>
      <c r="BZ16" s="37" t="s">
        <v>982</v>
      </c>
      <c r="CA16" s="37" t="s">
        <v>983</v>
      </c>
      <c r="CB16" s="37" t="s">
        <v>984</v>
      </c>
      <c r="CC16" s="37" t="s">
        <v>985</v>
      </c>
      <c r="CD16" s="37" t="s">
        <v>986</v>
      </c>
      <c r="CE16" s="37" t="s">
        <v>987</v>
      </c>
      <c r="CF16" s="37" t="s">
        <v>988</v>
      </c>
      <c r="CG16" s="37" t="s">
        <v>989</v>
      </c>
      <c r="CH16" s="37" t="s">
        <v>990</v>
      </c>
      <c r="CI16" s="37" t="s">
        <v>991</v>
      </c>
      <c r="CJ16" s="37" t="s">
        <v>992</v>
      </c>
      <c r="CK16" s="37" t="s">
        <v>993</v>
      </c>
      <c r="CL16" s="37" t="s">
        <v>994</v>
      </c>
      <c r="CM16" s="37" t="s">
        <v>995</v>
      </c>
      <c r="CN16" s="37" t="s">
        <v>996</v>
      </c>
      <c r="CO16" s="37" t="s">
        <v>997</v>
      </c>
      <c r="CP16" s="37" t="s">
        <v>998</v>
      </c>
      <c r="CQ16" s="37" t="s">
        <v>999</v>
      </c>
      <c r="CR16" s="37" t="s">
        <v>1000</v>
      </c>
      <c r="CS16" s="37" t="s">
        <v>1001</v>
      </c>
      <c r="CT16" s="37" t="s">
        <v>1002</v>
      </c>
      <c r="CU16" s="37" t="s">
        <v>1003</v>
      </c>
      <c r="CV16" s="37" t="s">
        <v>1004</v>
      </c>
      <c r="CW16" s="37" t="s">
        <v>1005</v>
      </c>
      <c r="CX16" s="37" t="s">
        <v>1006</v>
      </c>
      <c r="CY16" s="37" t="s">
        <v>1007</v>
      </c>
      <c r="CZ16" s="37" t="s">
        <v>1008</v>
      </c>
      <c r="DA16" s="37" t="s">
        <v>1009</v>
      </c>
      <c r="DB16" s="37" t="s">
        <v>1010</v>
      </c>
      <c r="DC16" s="37" t="s">
        <v>1011</v>
      </c>
      <c r="DD16" s="37" t="s">
        <v>1012</v>
      </c>
      <c r="DE16" s="37" t="s">
        <v>1013</v>
      </c>
      <c r="DF16" s="37" t="s">
        <v>1014</v>
      </c>
      <c r="DG16" s="37" t="s">
        <v>1015</v>
      </c>
      <c r="DH16" s="37" t="s">
        <v>1016</v>
      </c>
      <c r="DI16" s="37" t="s">
        <v>1017</v>
      </c>
      <c r="DJ16" s="37" t="s">
        <v>1018</v>
      </c>
      <c r="DK16" s="37" t="s">
        <v>1019</v>
      </c>
      <c r="DL16" s="37" t="s">
        <v>1020</v>
      </c>
      <c r="DM16" s="37" t="s">
        <v>1021</v>
      </c>
      <c r="DN16" s="37" t="s">
        <v>1022</v>
      </c>
      <c r="DO16" s="37" t="s">
        <v>1023</v>
      </c>
    </row>
    <row r="17" spans="2:5" x14ac:dyDescent="0.25">
      <c r="B17" s="46">
        <v>7</v>
      </c>
      <c r="D17" s="37" t="s">
        <v>9</v>
      </c>
      <c r="E17" s="38"/>
    </row>
    <row r="18" spans="2:5" x14ac:dyDescent="0.25">
      <c r="B18" s="46">
        <v>8</v>
      </c>
      <c r="D18" s="37" t="s">
        <v>10</v>
      </c>
      <c r="E18" s="38"/>
    </row>
    <row r="19" spans="2:5" x14ac:dyDescent="0.25">
      <c r="B19" s="46">
        <v>9</v>
      </c>
      <c r="D19" s="37" t="s">
        <v>11</v>
      </c>
      <c r="E19" s="38"/>
    </row>
    <row r="20" spans="2:5" x14ac:dyDescent="0.25">
      <c r="B20" s="46">
        <v>10</v>
      </c>
      <c r="D20" s="37" t="s">
        <v>12</v>
      </c>
      <c r="E20" s="38"/>
    </row>
    <row r="21" spans="2:5" x14ac:dyDescent="0.25">
      <c r="B21" s="46">
        <v>11</v>
      </c>
      <c r="D21" s="37" t="s">
        <v>13</v>
      </c>
      <c r="E21" s="38"/>
    </row>
    <row r="22" spans="2:5" x14ac:dyDescent="0.25">
      <c r="B22" s="46"/>
      <c r="D22" s="47"/>
    </row>
    <row r="23" spans="2:5" x14ac:dyDescent="0.25">
      <c r="B23" s="46"/>
      <c r="D23" s="47" t="s">
        <v>14</v>
      </c>
    </row>
    <row r="24" spans="2:5" x14ac:dyDescent="0.25">
      <c r="B24" s="46">
        <v>12</v>
      </c>
      <c r="D24" s="37" t="s">
        <v>15</v>
      </c>
      <c r="E24" s="38"/>
    </row>
    <row r="25" spans="2:5" x14ac:dyDescent="0.25">
      <c r="B25" s="46">
        <v>13</v>
      </c>
      <c r="D25" s="37" t="s">
        <v>9</v>
      </c>
      <c r="E25" s="38"/>
    </row>
    <row r="26" spans="2:5" x14ac:dyDescent="0.25">
      <c r="B26" s="46">
        <v>14</v>
      </c>
      <c r="D26" s="37" t="s">
        <v>11</v>
      </c>
      <c r="E26" s="38"/>
    </row>
    <row r="27" spans="2:5" x14ac:dyDescent="0.25">
      <c r="B27" s="46"/>
      <c r="D27" s="47"/>
    </row>
    <row r="28" spans="2:5" x14ac:dyDescent="0.25">
      <c r="B28" s="46">
        <v>15</v>
      </c>
      <c r="D28" s="47" t="s">
        <v>16</v>
      </c>
      <c r="E28" s="38"/>
    </row>
    <row r="29" spans="2:5" x14ac:dyDescent="0.25">
      <c r="B29" s="46">
        <v>16</v>
      </c>
      <c r="D29" s="37" t="s">
        <v>17</v>
      </c>
      <c r="E29" s="38"/>
    </row>
    <row r="30" spans="2:5" x14ac:dyDescent="0.25">
      <c r="B30" s="46">
        <v>17</v>
      </c>
      <c r="D30" s="37" t="s">
        <v>17</v>
      </c>
      <c r="E30" s="38"/>
    </row>
    <row r="31" spans="2:5" x14ac:dyDescent="0.25">
      <c r="B31" s="46"/>
    </row>
    <row r="32" spans="2:5" x14ac:dyDescent="0.25">
      <c r="B32" s="46"/>
      <c r="D32" s="47"/>
    </row>
    <row r="33" spans="2:5" x14ac:dyDescent="0.25">
      <c r="B33" s="46"/>
      <c r="D33" s="47" t="s">
        <v>18</v>
      </c>
    </row>
    <row r="34" spans="2:5" x14ac:dyDescent="0.25">
      <c r="B34" s="46">
        <v>18</v>
      </c>
      <c r="D34" s="53" t="s">
        <v>19</v>
      </c>
      <c r="E34" s="38"/>
    </row>
    <row r="35" spans="2:5" x14ac:dyDescent="0.25">
      <c r="B35" s="46">
        <v>19</v>
      </c>
      <c r="D35" s="53" t="s">
        <v>20</v>
      </c>
      <c r="E35" s="38"/>
    </row>
    <row r="36" spans="2:5" x14ac:dyDescent="0.25">
      <c r="B36" s="46">
        <v>20</v>
      </c>
      <c r="D36" s="53" t="s">
        <v>21</v>
      </c>
      <c r="E36" s="38"/>
    </row>
    <row r="37" spans="2:5" x14ac:dyDescent="0.25">
      <c r="B37" s="46">
        <v>21</v>
      </c>
      <c r="D37" s="53" t="s">
        <v>22</v>
      </c>
      <c r="E37" s="38"/>
    </row>
    <row r="38" spans="2:5" x14ac:dyDescent="0.25">
      <c r="B38" s="46"/>
      <c r="D38" s="53"/>
    </row>
    <row r="39" spans="2:5" x14ac:dyDescent="0.25">
      <c r="B39" s="46"/>
    </row>
    <row r="40" spans="2:5" x14ac:dyDescent="0.25">
      <c r="B40" s="46"/>
      <c r="D40" s="47" t="s">
        <v>23</v>
      </c>
    </row>
    <row r="41" spans="2:5" x14ac:dyDescent="0.25">
      <c r="B41" s="46"/>
    </row>
    <row r="42" spans="2:5" x14ac:dyDescent="0.25">
      <c r="B42" s="46">
        <v>22</v>
      </c>
      <c r="D42" s="56"/>
    </row>
    <row r="43" spans="2:5" x14ac:dyDescent="0.25">
      <c r="B43" s="46"/>
    </row>
    <row r="44" spans="2:5" x14ac:dyDescent="0.25">
      <c r="B44" s="46"/>
    </row>
    <row r="45" spans="2:5" x14ac:dyDescent="0.25">
      <c r="B45" s="46"/>
    </row>
    <row r="46" spans="2:5" x14ac:dyDescent="0.25">
      <c r="B46" s="46">
        <v>23</v>
      </c>
      <c r="D46" s="47" t="s">
        <v>24</v>
      </c>
      <c r="E46" s="38"/>
    </row>
    <row r="47" spans="2:5" x14ac:dyDescent="0.25">
      <c r="B47" s="46"/>
    </row>
    <row r="48" spans="2:5" x14ac:dyDescent="0.25">
      <c r="B48" s="46">
        <v>24</v>
      </c>
      <c r="D48" s="55" t="s">
        <v>25</v>
      </c>
      <c r="E48" s="38"/>
    </row>
    <row r="49" spans="2:5" x14ac:dyDescent="0.25">
      <c r="B49" s="46">
        <v>25</v>
      </c>
      <c r="D49" s="54" t="s">
        <v>26</v>
      </c>
    </row>
    <row r="50" spans="2:5" x14ac:dyDescent="0.25">
      <c r="B50" s="46">
        <v>26</v>
      </c>
      <c r="D50" s="54" t="s">
        <v>5</v>
      </c>
    </row>
    <row r="51" spans="2:5" x14ac:dyDescent="0.25">
      <c r="B51" s="46">
        <v>27</v>
      </c>
      <c r="D51" s="54" t="s">
        <v>7</v>
      </c>
    </row>
    <row r="52" spans="2:5" x14ac:dyDescent="0.25">
      <c r="B52" s="46"/>
      <c r="D52" s="53"/>
    </row>
    <row r="53" spans="2:5" x14ac:dyDescent="0.25">
      <c r="B53" s="46"/>
      <c r="D53" s="55"/>
    </row>
    <row r="54" spans="2:5" x14ac:dyDescent="0.25">
      <c r="B54" s="46">
        <v>28</v>
      </c>
      <c r="D54" s="54" t="s">
        <v>26</v>
      </c>
    </row>
    <row r="55" spans="2:5" x14ac:dyDescent="0.25">
      <c r="B55" s="46">
        <v>29</v>
      </c>
      <c r="D55" s="54" t="s">
        <v>5</v>
      </c>
    </row>
    <row r="56" spans="2:5" x14ac:dyDescent="0.25">
      <c r="B56" s="46">
        <v>30</v>
      </c>
      <c r="D56" s="54" t="s">
        <v>7</v>
      </c>
    </row>
    <row r="57" spans="2:5" x14ac:dyDescent="0.25">
      <c r="B57" s="46"/>
      <c r="D57" s="54"/>
    </row>
    <row r="58" spans="2:5" x14ac:dyDescent="0.25">
      <c r="B58" s="46">
        <v>31</v>
      </c>
      <c r="D58" s="47" t="s">
        <v>27</v>
      </c>
      <c r="E58" s="38"/>
    </row>
    <row r="59" spans="2:5" x14ac:dyDescent="0.25">
      <c r="B59" s="46"/>
      <c r="D59" s="47"/>
    </row>
    <row r="60" spans="2:5" x14ac:dyDescent="0.25">
      <c r="B60" s="46"/>
      <c r="D60" s="47" t="s">
        <v>28</v>
      </c>
    </row>
    <row r="61" spans="2:5" x14ac:dyDescent="0.25">
      <c r="B61" s="46">
        <v>32</v>
      </c>
      <c r="D61" s="47"/>
      <c r="E61" s="38"/>
    </row>
    <row r="62" spans="2:5" x14ac:dyDescent="0.25">
      <c r="B62" s="46"/>
    </row>
    <row r="63" spans="2:5" x14ac:dyDescent="0.25">
      <c r="B63" s="46"/>
      <c r="D63" s="47" t="s">
        <v>29</v>
      </c>
    </row>
    <row r="64" spans="2:5" x14ac:dyDescent="0.25">
      <c r="B64" s="46">
        <v>33</v>
      </c>
      <c r="E64" s="38"/>
    </row>
    <row r="65" spans="2:6" x14ac:dyDescent="0.25">
      <c r="B65" s="46">
        <v>34</v>
      </c>
      <c r="D65" s="37" t="s">
        <v>30</v>
      </c>
      <c r="E65" s="38"/>
    </row>
    <row r="66" spans="2:6" x14ac:dyDescent="0.25">
      <c r="B66" s="46"/>
    </row>
    <row r="67" spans="2:6" x14ac:dyDescent="0.25">
      <c r="B67" s="46"/>
      <c r="D67" s="47" t="s">
        <v>31</v>
      </c>
    </row>
    <row r="68" spans="2:6" x14ac:dyDescent="0.25">
      <c r="B68" s="46">
        <v>35</v>
      </c>
      <c r="E68" s="38"/>
    </row>
    <row r="69" spans="2:6" x14ac:dyDescent="0.25">
      <c r="B69" s="46">
        <v>36</v>
      </c>
      <c r="D69" s="37" t="s">
        <v>30</v>
      </c>
      <c r="E69" s="38"/>
    </row>
    <row r="70" spans="2:6" x14ac:dyDescent="0.25">
      <c r="B70" s="46"/>
      <c r="D70" s="47"/>
    </row>
    <row r="71" spans="2:6" x14ac:dyDescent="0.25">
      <c r="B71" s="46"/>
      <c r="D71" s="47" t="s">
        <v>32</v>
      </c>
    </row>
    <row r="72" spans="2:6" x14ac:dyDescent="0.25">
      <c r="B72" s="46">
        <v>37</v>
      </c>
      <c r="D72" s="37" t="s">
        <v>33</v>
      </c>
      <c r="F72" s="38"/>
    </row>
    <row r="73" spans="2:6" x14ac:dyDescent="0.25">
      <c r="B73" s="46">
        <v>38</v>
      </c>
      <c r="D73" s="37" t="s">
        <v>34</v>
      </c>
      <c r="F73" s="38"/>
    </row>
    <row r="74" spans="2:6" x14ac:dyDescent="0.25">
      <c r="B74" s="46">
        <v>39</v>
      </c>
      <c r="D74" s="53" t="s">
        <v>35</v>
      </c>
      <c r="F74" s="38"/>
    </row>
    <row r="75" spans="2:6" x14ac:dyDescent="0.25">
      <c r="B75" s="46">
        <v>40</v>
      </c>
      <c r="D75" s="53" t="s">
        <v>36</v>
      </c>
      <c r="F75" s="38"/>
    </row>
    <row r="76" spans="2:6" x14ac:dyDescent="0.25">
      <c r="B76" s="46">
        <v>41</v>
      </c>
      <c r="D76" s="53" t="s">
        <v>37</v>
      </c>
      <c r="F76" s="38"/>
    </row>
    <row r="77" spans="2:6" x14ac:dyDescent="0.25">
      <c r="B77" s="46">
        <v>42</v>
      </c>
      <c r="D77" s="53" t="s">
        <v>38</v>
      </c>
      <c r="F77" s="38"/>
    </row>
    <row r="78" spans="2:6" x14ac:dyDescent="0.25">
      <c r="B78" s="46"/>
      <c r="F78" s="48"/>
    </row>
    <row r="79" spans="2:6" x14ac:dyDescent="0.25">
      <c r="B79" s="46">
        <v>43</v>
      </c>
      <c r="D79" s="53" t="s">
        <v>39</v>
      </c>
      <c r="F79" s="38"/>
    </row>
    <row r="80" spans="2:6" x14ac:dyDescent="0.25">
      <c r="B80" s="46">
        <v>44</v>
      </c>
      <c r="D80" s="53" t="s">
        <v>40</v>
      </c>
      <c r="F80" s="38"/>
    </row>
    <row r="81" spans="2:6" x14ac:dyDescent="0.25">
      <c r="B81" s="46">
        <v>45</v>
      </c>
      <c r="D81" s="53" t="s">
        <v>41</v>
      </c>
      <c r="F81" s="38"/>
    </row>
    <row r="82" spans="2:6" x14ac:dyDescent="0.25">
      <c r="B82" s="46">
        <v>46</v>
      </c>
      <c r="D82" s="53" t="s">
        <v>42</v>
      </c>
      <c r="F82" s="38"/>
    </row>
    <row r="83" spans="2:6" x14ac:dyDescent="0.25">
      <c r="B83" s="46"/>
      <c r="D83" s="53"/>
      <c r="F83" s="48"/>
    </row>
    <row r="84" spans="2:6" x14ac:dyDescent="0.25">
      <c r="B84" s="46"/>
      <c r="D84" s="47" t="s">
        <v>43</v>
      </c>
    </row>
    <row r="85" spans="2:6" x14ac:dyDescent="0.25">
      <c r="B85" s="46">
        <v>47</v>
      </c>
      <c r="D85" s="53"/>
      <c r="E85" s="38"/>
    </row>
    <row r="86" spans="2:6" x14ac:dyDescent="0.25">
      <c r="B86" s="46"/>
      <c r="D86" s="47" t="s">
        <v>44</v>
      </c>
    </row>
    <row r="87" spans="2:6" x14ac:dyDescent="0.25">
      <c r="B87" s="46">
        <v>48</v>
      </c>
      <c r="D87" s="37" t="s">
        <v>45</v>
      </c>
      <c r="E87" s="38"/>
    </row>
    <row r="88" spans="2:6" x14ac:dyDescent="0.25">
      <c r="B88" s="46">
        <v>49</v>
      </c>
      <c r="D88" s="37" t="s">
        <v>46</v>
      </c>
      <c r="E88" s="38"/>
    </row>
    <row r="89" spans="2:6" x14ac:dyDescent="0.25">
      <c r="B89" s="46">
        <v>50</v>
      </c>
      <c r="D89" s="37" t="s">
        <v>47</v>
      </c>
      <c r="E89" s="38"/>
    </row>
    <row r="90" spans="2:6" x14ac:dyDescent="0.25">
      <c r="B90" s="46">
        <v>51</v>
      </c>
      <c r="D90" s="37" t="s">
        <v>48</v>
      </c>
      <c r="E90" s="38"/>
    </row>
    <row r="91" spans="2:6" x14ac:dyDescent="0.25">
      <c r="B91" s="46">
        <v>52</v>
      </c>
      <c r="D91" s="37" t="s">
        <v>49</v>
      </c>
      <c r="E91" s="38"/>
    </row>
    <row r="92" spans="2:6" x14ac:dyDescent="0.25">
      <c r="B92" s="46">
        <v>53</v>
      </c>
      <c r="D92" s="37" t="s">
        <v>50</v>
      </c>
      <c r="E92" s="38"/>
    </row>
    <row r="93" spans="2:6" x14ac:dyDescent="0.25">
      <c r="B93" s="46"/>
    </row>
    <row r="94" spans="2:6" x14ac:dyDescent="0.25">
      <c r="B94" s="46"/>
      <c r="D94" s="47" t="s">
        <v>51</v>
      </c>
    </row>
    <row r="95" spans="2:6" x14ac:dyDescent="0.25">
      <c r="B95" s="46">
        <v>54</v>
      </c>
      <c r="D95" s="47"/>
      <c r="E95" s="38"/>
    </row>
    <row r="96" spans="2:6" x14ac:dyDescent="0.25">
      <c r="B96" s="46">
        <v>55</v>
      </c>
      <c r="D96" s="53" t="s">
        <v>52</v>
      </c>
      <c r="E96" s="38"/>
    </row>
    <row r="97" spans="1:9" x14ac:dyDescent="0.25">
      <c r="B97" s="46">
        <v>56</v>
      </c>
      <c r="D97" s="53" t="s">
        <v>53</v>
      </c>
      <c r="E97" s="38"/>
    </row>
    <row r="98" spans="1:9" x14ac:dyDescent="0.25">
      <c r="B98" s="46">
        <v>57</v>
      </c>
      <c r="D98" s="53" t="s">
        <v>54</v>
      </c>
      <c r="E98" s="38"/>
    </row>
    <row r="99" spans="1:9" x14ac:dyDescent="0.25">
      <c r="B99" s="46"/>
      <c r="D99" s="53"/>
    </row>
    <row r="100" spans="1:9" x14ac:dyDescent="0.25">
      <c r="B100" s="46"/>
    </row>
    <row r="101" spans="1:9" x14ac:dyDescent="0.25">
      <c r="B101" s="46">
        <v>58</v>
      </c>
      <c r="D101" s="47"/>
      <c r="E101" s="38"/>
    </row>
    <row r="102" spans="1:9" x14ac:dyDescent="0.25">
      <c r="B102" s="46">
        <v>59</v>
      </c>
      <c r="D102" s="53" t="s">
        <v>52</v>
      </c>
      <c r="E102" s="38"/>
    </row>
    <row r="103" spans="1:9" x14ac:dyDescent="0.25">
      <c r="B103" s="46">
        <v>60</v>
      </c>
      <c r="D103" s="53" t="s">
        <v>53</v>
      </c>
      <c r="E103" s="38"/>
    </row>
    <row r="104" spans="1:9" x14ac:dyDescent="0.25">
      <c r="B104" s="46">
        <v>61</v>
      </c>
      <c r="D104" s="53" t="s">
        <v>54</v>
      </c>
      <c r="E104" s="38"/>
    </row>
    <row r="105" spans="1:9" x14ac:dyDescent="0.25">
      <c r="B105" s="46"/>
    </row>
    <row r="106" spans="1:9" x14ac:dyDescent="0.25">
      <c r="B106" s="46"/>
      <c r="D106" s="53"/>
    </row>
    <row r="107" spans="1:9" x14ac:dyDescent="0.25">
      <c r="B107" s="46">
        <v>62</v>
      </c>
      <c r="D107" s="47"/>
      <c r="E107" s="38"/>
    </row>
    <row r="108" spans="1:9" x14ac:dyDescent="0.25">
      <c r="B108" s="46">
        <v>63</v>
      </c>
      <c r="D108" s="53" t="s">
        <v>52</v>
      </c>
      <c r="E108" s="38"/>
    </row>
    <row r="109" spans="1:9" x14ac:dyDescent="0.25">
      <c r="A109" s="48"/>
      <c r="B109" s="46">
        <v>64</v>
      </c>
      <c r="C109" s="48"/>
      <c r="D109" s="53" t="s">
        <v>53</v>
      </c>
      <c r="E109" s="38"/>
      <c r="F109" s="48"/>
      <c r="G109" s="48"/>
      <c r="H109" s="48"/>
      <c r="I109" s="48"/>
    </row>
    <row r="110" spans="1:9" x14ac:dyDescent="0.25">
      <c r="A110" s="48"/>
      <c r="B110" s="46">
        <v>65</v>
      </c>
      <c r="C110" s="48"/>
      <c r="D110" s="53" t="s">
        <v>54</v>
      </c>
      <c r="E110" s="38"/>
      <c r="F110" s="48"/>
      <c r="G110" s="48"/>
      <c r="H110" s="48"/>
      <c r="I110" s="48"/>
    </row>
    <row r="111" spans="1:9" x14ac:dyDescent="0.25">
      <c r="B111" s="46"/>
      <c r="D111" s="53"/>
    </row>
    <row r="112" spans="1:9" x14ac:dyDescent="0.25">
      <c r="B112" s="46"/>
      <c r="D112" s="47" t="s">
        <v>55</v>
      </c>
    </row>
    <row r="113" spans="2:5" x14ac:dyDescent="0.25">
      <c r="B113" s="46">
        <v>66</v>
      </c>
      <c r="D113" s="37" t="s">
        <v>56</v>
      </c>
      <c r="E113" s="38"/>
    </row>
    <row r="114" spans="2:5" x14ac:dyDescent="0.25">
      <c r="B114" s="46">
        <v>67</v>
      </c>
      <c r="D114" s="53" t="s">
        <v>57</v>
      </c>
      <c r="E114" s="38"/>
    </row>
    <row r="115" spans="2:5" x14ac:dyDescent="0.25">
      <c r="B115" s="46">
        <v>68</v>
      </c>
      <c r="D115" s="53" t="s">
        <v>58</v>
      </c>
      <c r="E115" s="38"/>
    </row>
    <row r="116" spans="2:5" x14ac:dyDescent="0.25">
      <c r="B116" s="46"/>
    </row>
    <row r="117" spans="2:5" x14ac:dyDescent="0.25">
      <c r="B117" s="46"/>
      <c r="D117" s="47" t="s">
        <v>59</v>
      </c>
    </row>
    <row r="118" spans="2:5" x14ac:dyDescent="0.25">
      <c r="B118" s="46">
        <v>69</v>
      </c>
      <c r="E118" s="38"/>
    </row>
    <row r="119" spans="2:5" x14ac:dyDescent="0.25">
      <c r="B119" s="46"/>
    </row>
    <row r="120" spans="2:5" x14ac:dyDescent="0.25">
      <c r="B120" s="46"/>
      <c r="D120" s="47" t="s">
        <v>60</v>
      </c>
    </row>
    <row r="121" spans="2:5" x14ac:dyDescent="0.25">
      <c r="B121" s="46">
        <v>70</v>
      </c>
      <c r="D121" s="37" t="s">
        <v>61</v>
      </c>
      <c r="E121" s="38"/>
    </row>
    <row r="122" spans="2:5" x14ac:dyDescent="0.25">
      <c r="B122" s="46">
        <v>71</v>
      </c>
      <c r="D122" s="49" t="s">
        <v>62</v>
      </c>
      <c r="E122" s="38"/>
    </row>
    <row r="123" spans="2:5" x14ac:dyDescent="0.25">
      <c r="B123" s="46">
        <v>72</v>
      </c>
      <c r="D123" s="49" t="s">
        <v>63</v>
      </c>
      <c r="E123" s="38"/>
    </row>
    <row r="124" spans="2:5" x14ac:dyDescent="0.25">
      <c r="B124" s="46">
        <v>73</v>
      </c>
      <c r="D124" s="49" t="s">
        <v>64</v>
      </c>
      <c r="E124" s="38"/>
    </row>
    <row r="125" spans="2:5" x14ac:dyDescent="0.25">
      <c r="B125" s="46">
        <v>74</v>
      </c>
      <c r="D125" s="49" t="s">
        <v>65</v>
      </c>
      <c r="E125" s="38"/>
    </row>
    <row r="126" spans="2:5" x14ac:dyDescent="0.25">
      <c r="B126" s="46">
        <v>75</v>
      </c>
      <c r="D126" s="52" t="s">
        <v>66</v>
      </c>
      <c r="E126" s="38"/>
    </row>
    <row r="127" spans="2:5" x14ac:dyDescent="0.25">
      <c r="B127" s="46">
        <v>76</v>
      </c>
      <c r="D127" s="52" t="s">
        <v>67</v>
      </c>
      <c r="E127" s="38"/>
    </row>
    <row r="128" spans="2:5" x14ac:dyDescent="0.25">
      <c r="B128" s="46">
        <v>77</v>
      </c>
      <c r="D128" s="52" t="s">
        <v>68</v>
      </c>
      <c r="E128" s="38"/>
    </row>
    <row r="129" spans="2:6" x14ac:dyDescent="0.25">
      <c r="B129" s="46"/>
    </row>
    <row r="130" spans="2:6" x14ac:dyDescent="0.25">
      <c r="B130" s="46">
        <v>78</v>
      </c>
      <c r="D130" s="37" t="s">
        <v>39</v>
      </c>
      <c r="E130" s="38"/>
    </row>
    <row r="131" spans="2:6" x14ac:dyDescent="0.25">
      <c r="B131" s="46">
        <v>79</v>
      </c>
      <c r="D131" s="52" t="s">
        <v>69</v>
      </c>
      <c r="E131" s="38"/>
    </row>
    <row r="132" spans="2:6" x14ac:dyDescent="0.25">
      <c r="B132" s="46"/>
    </row>
    <row r="133" spans="2:6" x14ac:dyDescent="0.25">
      <c r="B133" s="46"/>
      <c r="D133" s="47" t="s">
        <v>70</v>
      </c>
    </row>
    <row r="134" spans="2:6" x14ac:dyDescent="0.25">
      <c r="B134" s="46">
        <v>80</v>
      </c>
      <c r="D134" s="37" t="s">
        <v>71</v>
      </c>
      <c r="E134" s="38"/>
    </row>
    <row r="135" spans="2:6" x14ac:dyDescent="0.25">
      <c r="B135" s="46">
        <v>81</v>
      </c>
      <c r="D135" s="52" t="s">
        <v>72</v>
      </c>
      <c r="E135" s="38"/>
    </row>
    <row r="136" spans="2:6" x14ac:dyDescent="0.25">
      <c r="B136" s="46">
        <v>82</v>
      </c>
      <c r="D136" s="52" t="s">
        <v>73</v>
      </c>
      <c r="E136" s="38"/>
    </row>
    <row r="137" spans="2:6" x14ac:dyDescent="0.25">
      <c r="B137" s="46">
        <v>83</v>
      </c>
      <c r="D137" s="52" t="s">
        <v>74</v>
      </c>
      <c r="E137" s="38"/>
    </row>
    <row r="138" spans="2:6" x14ac:dyDescent="0.25">
      <c r="B138" s="46">
        <v>84</v>
      </c>
      <c r="D138" s="52" t="s">
        <v>75</v>
      </c>
      <c r="E138" s="38"/>
    </row>
    <row r="139" spans="2:6" x14ac:dyDescent="0.25">
      <c r="B139" s="46">
        <v>85</v>
      </c>
      <c r="D139" s="37" t="s">
        <v>76</v>
      </c>
      <c r="E139" s="38"/>
    </row>
    <row r="140" spans="2:6" x14ac:dyDescent="0.25">
      <c r="B140" s="46">
        <v>86</v>
      </c>
      <c r="D140" s="37" t="s">
        <v>77</v>
      </c>
      <c r="E140" s="38"/>
    </row>
    <row r="141" spans="2:6" x14ac:dyDescent="0.25">
      <c r="B141" s="46">
        <v>87</v>
      </c>
      <c r="D141" s="37" t="s">
        <v>78</v>
      </c>
      <c r="E141" s="38"/>
    </row>
    <row r="142" spans="2:6" x14ac:dyDescent="0.25">
      <c r="B142" s="46">
        <v>88</v>
      </c>
      <c r="D142" s="37" t="s">
        <v>79</v>
      </c>
      <c r="E142" s="38"/>
      <c r="F142" s="48"/>
    </row>
    <row r="143" spans="2:6" x14ac:dyDescent="0.25">
      <c r="B143" s="46"/>
    </row>
    <row r="144" spans="2:6" x14ac:dyDescent="0.25">
      <c r="B144" s="46"/>
    </row>
    <row r="145" spans="2:6" x14ac:dyDescent="0.25">
      <c r="B145" s="46"/>
      <c r="D145" s="47" t="s">
        <v>80</v>
      </c>
    </row>
    <row r="146" spans="2:6" x14ac:dyDescent="0.25">
      <c r="B146" s="46">
        <v>89</v>
      </c>
      <c r="D146" s="47"/>
      <c r="E146" s="38"/>
    </row>
    <row r="147" spans="2:6" x14ac:dyDescent="0.25">
      <c r="B147" s="46"/>
      <c r="D147" s="37" t="s">
        <v>81</v>
      </c>
    </row>
    <row r="148" spans="2:6" x14ac:dyDescent="0.25">
      <c r="B148" s="46"/>
    </row>
    <row r="149" spans="2:6" x14ac:dyDescent="0.25">
      <c r="B149" s="46">
        <v>90</v>
      </c>
      <c r="D149" s="37" t="s">
        <v>82</v>
      </c>
    </row>
    <row r="150" spans="2:6" x14ac:dyDescent="0.25">
      <c r="B150" s="46">
        <v>91</v>
      </c>
      <c r="D150" s="37" t="s">
        <v>83</v>
      </c>
      <c r="E150" s="51"/>
      <c r="F150" s="51"/>
    </row>
    <row r="151" spans="2:6" x14ac:dyDescent="0.25">
      <c r="B151" s="46">
        <v>92</v>
      </c>
      <c r="D151" s="37" t="s">
        <v>84</v>
      </c>
    </row>
    <row r="152" spans="2:6" x14ac:dyDescent="0.25">
      <c r="B152" s="46">
        <v>93</v>
      </c>
      <c r="D152" s="37" t="s">
        <v>85</v>
      </c>
      <c r="E152" s="50"/>
      <c r="F152" s="50"/>
    </row>
    <row r="153" spans="2:6" x14ac:dyDescent="0.25">
      <c r="B153" s="46"/>
      <c r="D153" s="46"/>
      <c r="E153" s="50"/>
    </row>
    <row r="154" spans="2:6" x14ac:dyDescent="0.25">
      <c r="B154" s="46">
        <v>98</v>
      </c>
      <c r="D154" s="46" t="s">
        <v>86</v>
      </c>
      <c r="E154" s="38"/>
    </row>
    <row r="155" spans="2:6" x14ac:dyDescent="0.25">
      <c r="B155" s="46"/>
    </row>
    <row r="156" spans="2:6" x14ac:dyDescent="0.25">
      <c r="B156" s="46"/>
    </row>
    <row r="157" spans="2:6" x14ac:dyDescent="0.25">
      <c r="B157" s="46"/>
      <c r="D157" s="47" t="s">
        <v>87</v>
      </c>
    </row>
    <row r="158" spans="2:6" x14ac:dyDescent="0.25">
      <c r="B158" s="46"/>
    </row>
    <row r="159" spans="2:6" x14ac:dyDescent="0.25">
      <c r="B159" s="46">
        <v>99</v>
      </c>
      <c r="D159" s="37" t="s">
        <v>88</v>
      </c>
      <c r="E159" s="38"/>
    </row>
    <row r="160" spans="2:6" x14ac:dyDescent="0.25">
      <c r="B160" s="46">
        <v>100</v>
      </c>
      <c r="D160" s="37" t="s">
        <v>89</v>
      </c>
      <c r="E160" s="38"/>
    </row>
    <row r="161" spans="2:5" x14ac:dyDescent="0.25">
      <c r="B161" s="46">
        <v>101</v>
      </c>
      <c r="D161" s="49" t="s">
        <v>90</v>
      </c>
      <c r="E161" s="38"/>
    </row>
    <row r="162" spans="2:5" x14ac:dyDescent="0.25">
      <c r="B162" s="46">
        <v>102</v>
      </c>
      <c r="D162" s="49" t="s">
        <v>91</v>
      </c>
      <c r="E162" s="38"/>
    </row>
    <row r="163" spans="2:5" x14ac:dyDescent="0.25">
      <c r="B163" s="46">
        <v>103</v>
      </c>
      <c r="D163" s="37" t="s">
        <v>92</v>
      </c>
      <c r="E163" s="38"/>
    </row>
    <row r="164" spans="2:5" x14ac:dyDescent="0.25">
      <c r="B164" s="46">
        <v>104</v>
      </c>
      <c r="D164" s="154" t="s">
        <v>1722</v>
      </c>
      <c r="E164" s="38"/>
    </row>
    <row r="165" spans="2:5" x14ac:dyDescent="0.25">
      <c r="B165" s="46">
        <v>105</v>
      </c>
      <c r="D165" s="49" t="s">
        <v>94</v>
      </c>
      <c r="E165" s="38"/>
    </row>
    <row r="166" spans="2:5" x14ac:dyDescent="0.25">
      <c r="B166" s="46">
        <v>106</v>
      </c>
      <c r="D166" s="49" t="s">
        <v>95</v>
      </c>
      <c r="E166" s="38"/>
    </row>
    <row r="167" spans="2:5" x14ac:dyDescent="0.25">
      <c r="B167" s="46"/>
    </row>
    <row r="168" spans="2:5" x14ac:dyDescent="0.25">
      <c r="B168" s="46"/>
    </row>
    <row r="169" spans="2:5" x14ac:dyDescent="0.25">
      <c r="B169" s="46"/>
      <c r="D169" s="47" t="s">
        <v>96</v>
      </c>
    </row>
    <row r="170" spans="2:5" x14ac:dyDescent="0.25">
      <c r="B170" s="46">
        <v>107</v>
      </c>
      <c r="D170" s="38"/>
      <c r="E170" s="48"/>
    </row>
    <row r="171" spans="2:5" x14ac:dyDescent="0.25">
      <c r="B171" s="46"/>
    </row>
    <row r="172" spans="2:5" x14ac:dyDescent="0.25">
      <c r="B172" s="46"/>
      <c r="D172" s="47" t="s">
        <v>97</v>
      </c>
    </row>
    <row r="173" spans="2:5" x14ac:dyDescent="0.25">
      <c r="B173" s="46"/>
    </row>
    <row r="174" spans="2:5" x14ac:dyDescent="0.25">
      <c r="B174" s="46">
        <v>108</v>
      </c>
      <c r="D174" s="37" t="s">
        <v>98</v>
      </c>
      <c r="E174" s="38"/>
    </row>
    <row r="175" spans="2:5" x14ac:dyDescent="0.25">
      <c r="B175" s="46">
        <v>109</v>
      </c>
      <c r="D175" s="37" t="s">
        <v>99</v>
      </c>
      <c r="E175" s="38"/>
    </row>
    <row r="176" spans="2:5" x14ac:dyDescent="0.25">
      <c r="B176" s="46">
        <v>110</v>
      </c>
      <c r="D176" s="37" t="s">
        <v>100</v>
      </c>
      <c r="E176" s="38"/>
    </row>
    <row r="177" spans="2:5" x14ac:dyDescent="0.25">
      <c r="B177" s="46">
        <v>111</v>
      </c>
      <c r="D177" s="37" t="s">
        <v>101</v>
      </c>
      <c r="E177" s="38"/>
    </row>
    <row r="178" spans="2:5" x14ac:dyDescent="0.25">
      <c r="B178" s="46">
        <v>112</v>
      </c>
      <c r="D178" s="37" t="s">
        <v>102</v>
      </c>
      <c r="E178" s="38"/>
    </row>
    <row r="179" spans="2:5" x14ac:dyDescent="0.25">
      <c r="B179" s="46"/>
    </row>
  </sheetData>
  <phoneticPr fontId="21" type="noConversion"/>
  <dataValidations count="17">
    <dataValidation type="list" allowBlank="1" showInputMessage="1" showErrorMessage="1" sqref="E10">
      <formula1>Liste1F1Rechtsform</formula1>
    </dataValidation>
    <dataValidation type="list" allowBlank="1" showInputMessage="1" showErrorMessage="1" sqref="E16">
      <formula1>Liste1F1Land</formula1>
    </dataValidation>
    <dataValidation type="list" allowBlank="1" showInputMessage="1" showErrorMessage="1" sqref="E28:E30">
      <formula1>Liste1F1Branche</formula1>
    </dataValidation>
    <dataValidation type="list" allowBlank="1" showInputMessage="1" showErrorMessage="1" sqref="E46">
      <formula1>Liste1F3Eigentumsverhältnisse</formula1>
    </dataValidation>
    <dataValidation type="list" allowBlank="1" showInputMessage="1" showErrorMessage="1" sqref="E48">
      <formula1>Liste1F4Standort</formula1>
    </dataValidation>
    <dataValidation type="list" allowBlank="1" showInputMessage="1" showErrorMessage="1" sqref="E58">
      <formula1>Liste1F5Kernkompetenz</formula1>
    </dataValidation>
    <dataValidation type="list" allowBlank="1" showInputMessage="1" showErrorMessage="1" sqref="E61">
      <formula1>Liste1F6Gesamtumsatz</formula1>
    </dataValidation>
    <dataValidation type="list" allowBlank="1" showInputMessage="1" showErrorMessage="1" sqref="E64">
      <formula1>Liste1F7Mitarbeiter</formula1>
    </dataValidation>
    <dataValidation type="list" allowBlank="1" showInputMessage="1" showErrorMessage="1" sqref="E68">
      <formula1>Liste1F8ArbeitsplätzeLogistik</formula1>
    </dataValidation>
    <dataValidation type="list" allowBlank="1" showInputMessage="1" showErrorMessage="1" sqref="E85">
      <formula1>Liste1F10PlanenLogistischeD</formula1>
    </dataValidation>
    <dataValidation type="list" allowBlank="1" showInputMessage="1" showErrorMessage="1" sqref="E87:E92">
      <formula1>Liste1F11ZusammenarbeitLogistik</formula1>
    </dataValidation>
    <dataValidation type="list" allowBlank="1" showInputMessage="1" showErrorMessage="1" sqref="E118 E98 E110 E104">
      <formula1>Liste1F14BeeinflussenTransport</formula1>
    </dataValidation>
    <dataValidation type="list" allowBlank="1" showInputMessage="1" showErrorMessage="1" sqref="E113:E115">
      <formula1>Liste1F13Transport</formula1>
    </dataValidation>
    <dataValidation type="list" allowBlank="1" showInputMessage="1" showErrorMessage="1" sqref="E146">
      <formula1>Liste1F17Expandieren</formula1>
    </dataValidation>
    <dataValidation type="list" allowBlank="1" showInputMessage="1" showErrorMessage="1" sqref="E149:F149">
      <formula1>Liste1F17VieleichtJa</formula1>
    </dataValidation>
    <dataValidation type="list" allowBlank="1" showInputMessage="1" showErrorMessage="1" sqref="E152:F152">
      <formula1>Liste1F17MitarbeiterEinstellen</formula1>
    </dataValidation>
    <dataValidation type="list" allowBlank="1" showInputMessage="1" showErrorMessage="1" sqref="E154">
      <formula1>Liste1F17Dienstleister</formula1>
    </dataValidation>
  </dataValidations>
  <pageMargins left="0.75" right="0.75" top="1" bottom="1" header="0.5" footer="0.5"/>
  <pageSetup paperSize="9"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4097" r:id="rId3" name="Check Box 1">
              <controlPr defaultSize="0" autoFill="0" autoLine="0" autoPict="0">
                <anchor moveWithCells="1">
                  <from>
                    <xdr:col>5</xdr:col>
                    <xdr:colOff>85725</xdr:colOff>
                    <xdr:row>70</xdr:row>
                    <xdr:rowOff>180975</xdr:rowOff>
                  </from>
                  <to>
                    <xdr:col>5</xdr:col>
                    <xdr:colOff>485775</xdr:colOff>
                    <xdr:row>72</xdr:row>
                    <xdr:rowOff>28575</xdr:rowOff>
                  </to>
                </anchor>
              </controlPr>
            </control>
          </mc:Choice>
        </mc:AlternateContent>
        <mc:AlternateContent xmlns:mc="http://schemas.openxmlformats.org/markup-compatibility/2006">
          <mc:Choice Requires="x14">
            <control shapeId="4098" r:id="rId4" name="Check Box 2">
              <controlPr defaultSize="0" autoFill="0" autoLine="0" autoPict="0">
                <anchor moveWithCells="1">
                  <from>
                    <xdr:col>5</xdr:col>
                    <xdr:colOff>104775</xdr:colOff>
                    <xdr:row>71</xdr:row>
                    <xdr:rowOff>180975</xdr:rowOff>
                  </from>
                  <to>
                    <xdr:col>5</xdr:col>
                    <xdr:colOff>495300</xdr:colOff>
                    <xdr:row>73</xdr:row>
                    <xdr:rowOff>28575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5</xdr:col>
                    <xdr:colOff>104775</xdr:colOff>
                    <xdr:row>73</xdr:row>
                    <xdr:rowOff>0</xdr:rowOff>
                  </from>
                  <to>
                    <xdr:col>5</xdr:col>
                    <xdr:colOff>495300</xdr:colOff>
                    <xdr:row>74</xdr:row>
                    <xdr:rowOff>28575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5</xdr:col>
                    <xdr:colOff>104775</xdr:colOff>
                    <xdr:row>73</xdr:row>
                    <xdr:rowOff>180975</xdr:rowOff>
                  </from>
                  <to>
                    <xdr:col>5</xdr:col>
                    <xdr:colOff>495300</xdr:colOff>
                    <xdr:row>75</xdr:row>
                    <xdr:rowOff>28575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5</xdr:col>
                    <xdr:colOff>104775</xdr:colOff>
                    <xdr:row>74</xdr:row>
                    <xdr:rowOff>161925</xdr:rowOff>
                  </from>
                  <to>
                    <xdr:col>5</xdr:col>
                    <xdr:colOff>495300</xdr:colOff>
                    <xdr:row>76</xdr:row>
                    <xdr:rowOff>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5</xdr:col>
                    <xdr:colOff>104775</xdr:colOff>
                    <xdr:row>75</xdr:row>
                    <xdr:rowOff>180975</xdr:rowOff>
                  </from>
                  <to>
                    <xdr:col>5</xdr:col>
                    <xdr:colOff>495300</xdr:colOff>
                    <xdr:row>77</xdr:row>
                    <xdr:rowOff>9525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5</xdr:col>
                    <xdr:colOff>142875</xdr:colOff>
                    <xdr:row>78</xdr:row>
                    <xdr:rowOff>9525</xdr:rowOff>
                  </from>
                  <to>
                    <xdr:col>5</xdr:col>
                    <xdr:colOff>533400</xdr:colOff>
                    <xdr:row>79</xdr:row>
                    <xdr:rowOff>38100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5</xdr:col>
                    <xdr:colOff>142875</xdr:colOff>
                    <xdr:row>78</xdr:row>
                    <xdr:rowOff>180975</xdr:rowOff>
                  </from>
                  <to>
                    <xdr:col>5</xdr:col>
                    <xdr:colOff>533400</xdr:colOff>
                    <xdr:row>80</xdr:row>
                    <xdr:rowOff>28575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5</xdr:col>
                    <xdr:colOff>142875</xdr:colOff>
                    <xdr:row>80</xdr:row>
                    <xdr:rowOff>0</xdr:rowOff>
                  </from>
                  <to>
                    <xdr:col>5</xdr:col>
                    <xdr:colOff>533400</xdr:colOff>
                    <xdr:row>81</xdr:row>
                    <xdr:rowOff>28575</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123825</xdr:colOff>
                    <xdr:row>81</xdr:row>
                    <xdr:rowOff>0</xdr:rowOff>
                  </from>
                  <to>
                    <xdr:col>5</xdr:col>
                    <xdr:colOff>523875</xdr:colOff>
                    <xdr:row>82</xdr:row>
                    <xdr:rowOff>28575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4</xdr:col>
                    <xdr:colOff>152400</xdr:colOff>
                    <xdr:row>119</xdr:row>
                    <xdr:rowOff>180975</xdr:rowOff>
                  </from>
                  <to>
                    <xdr:col>4</xdr:col>
                    <xdr:colOff>542925</xdr:colOff>
                    <xdr:row>121</xdr:row>
                    <xdr:rowOff>9525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4</xdr:col>
                    <xdr:colOff>142875</xdr:colOff>
                    <xdr:row>122</xdr:row>
                    <xdr:rowOff>0</xdr:rowOff>
                  </from>
                  <to>
                    <xdr:col>4</xdr:col>
                    <xdr:colOff>533400</xdr:colOff>
                    <xdr:row>123</xdr:row>
                    <xdr:rowOff>28575</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4</xdr:col>
                    <xdr:colOff>142875</xdr:colOff>
                    <xdr:row>123</xdr:row>
                    <xdr:rowOff>0</xdr:rowOff>
                  </from>
                  <to>
                    <xdr:col>4</xdr:col>
                    <xdr:colOff>533400</xdr:colOff>
                    <xdr:row>124</xdr:row>
                    <xdr:rowOff>28575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4</xdr:col>
                    <xdr:colOff>142875</xdr:colOff>
                    <xdr:row>123</xdr:row>
                    <xdr:rowOff>180975</xdr:rowOff>
                  </from>
                  <to>
                    <xdr:col>4</xdr:col>
                    <xdr:colOff>533400</xdr:colOff>
                    <xdr:row>125</xdr:row>
                    <xdr:rowOff>9525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152400</xdr:colOff>
                    <xdr:row>120</xdr:row>
                    <xdr:rowOff>180975</xdr:rowOff>
                  </from>
                  <to>
                    <xdr:col>4</xdr:col>
                    <xdr:colOff>542925</xdr:colOff>
                    <xdr:row>122</xdr:row>
                    <xdr:rowOff>28575</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4</xdr:col>
                    <xdr:colOff>142875</xdr:colOff>
                    <xdr:row>124</xdr:row>
                    <xdr:rowOff>180975</xdr:rowOff>
                  </from>
                  <to>
                    <xdr:col>4</xdr:col>
                    <xdr:colOff>533400</xdr:colOff>
                    <xdr:row>126</xdr:row>
                    <xdr:rowOff>9525</xdr:rowOff>
                  </to>
                </anchor>
              </controlPr>
            </control>
          </mc:Choice>
        </mc:AlternateContent>
        <mc:AlternateContent xmlns:mc="http://schemas.openxmlformats.org/markup-compatibility/2006">
          <mc:Choice Requires="x14">
            <control shapeId="4113" r:id="rId19" name="Check Box 17">
              <controlPr defaultSize="0" autoFill="0" autoLine="0" autoPict="0">
                <anchor moveWithCells="1">
                  <from>
                    <xdr:col>4</xdr:col>
                    <xdr:colOff>142875</xdr:colOff>
                    <xdr:row>125</xdr:row>
                    <xdr:rowOff>180975</xdr:rowOff>
                  </from>
                  <to>
                    <xdr:col>4</xdr:col>
                    <xdr:colOff>533400</xdr:colOff>
                    <xdr:row>127</xdr:row>
                    <xdr:rowOff>9525</xdr:rowOff>
                  </to>
                </anchor>
              </controlPr>
            </control>
          </mc:Choice>
        </mc:AlternateContent>
        <mc:AlternateContent xmlns:mc="http://schemas.openxmlformats.org/markup-compatibility/2006">
          <mc:Choice Requires="x14">
            <control shapeId="4114" r:id="rId20" name="Check Box 18">
              <controlPr defaultSize="0" autoFill="0" autoLine="0" autoPict="0">
                <anchor moveWithCells="1">
                  <from>
                    <xdr:col>4</xdr:col>
                    <xdr:colOff>142875</xdr:colOff>
                    <xdr:row>127</xdr:row>
                    <xdr:rowOff>0</xdr:rowOff>
                  </from>
                  <to>
                    <xdr:col>4</xdr:col>
                    <xdr:colOff>533400</xdr:colOff>
                    <xdr:row>128</xdr:row>
                    <xdr:rowOff>28575</xdr:rowOff>
                  </to>
                </anchor>
              </controlPr>
            </control>
          </mc:Choice>
        </mc:AlternateContent>
        <mc:AlternateContent xmlns:mc="http://schemas.openxmlformats.org/markup-compatibility/2006">
          <mc:Choice Requires="x14">
            <control shapeId="4115" r:id="rId21" name="Check Box 19">
              <controlPr defaultSize="0" autoFill="0" autoLine="0" autoPict="0">
                <anchor moveWithCells="1">
                  <from>
                    <xdr:col>4</xdr:col>
                    <xdr:colOff>152400</xdr:colOff>
                    <xdr:row>128</xdr:row>
                    <xdr:rowOff>180975</xdr:rowOff>
                  </from>
                  <to>
                    <xdr:col>4</xdr:col>
                    <xdr:colOff>542925</xdr:colOff>
                    <xdr:row>130</xdr:row>
                    <xdr:rowOff>28575</xdr:rowOff>
                  </to>
                </anchor>
              </controlPr>
            </control>
          </mc:Choice>
        </mc:AlternateContent>
        <mc:AlternateContent xmlns:mc="http://schemas.openxmlformats.org/markup-compatibility/2006">
          <mc:Choice Requires="x14">
            <control shapeId="4116" r:id="rId22" name="Check Box 20">
              <controlPr defaultSize="0" autoFill="0" autoLine="0" autoPict="0">
                <anchor moveWithCells="1">
                  <from>
                    <xdr:col>4</xdr:col>
                    <xdr:colOff>152400</xdr:colOff>
                    <xdr:row>133</xdr:row>
                    <xdr:rowOff>180975</xdr:rowOff>
                  </from>
                  <to>
                    <xdr:col>4</xdr:col>
                    <xdr:colOff>542925</xdr:colOff>
                    <xdr:row>135</xdr:row>
                    <xdr:rowOff>9525</xdr:rowOff>
                  </to>
                </anchor>
              </controlPr>
            </control>
          </mc:Choice>
        </mc:AlternateContent>
        <mc:AlternateContent xmlns:mc="http://schemas.openxmlformats.org/markup-compatibility/2006">
          <mc:Choice Requires="x14">
            <control shapeId="4117" r:id="rId23" name="Check Box 21">
              <controlPr defaultSize="0" autoFill="0" autoLine="0" autoPict="0">
                <anchor moveWithCells="1">
                  <from>
                    <xdr:col>4</xdr:col>
                    <xdr:colOff>161925</xdr:colOff>
                    <xdr:row>134</xdr:row>
                    <xdr:rowOff>180975</xdr:rowOff>
                  </from>
                  <to>
                    <xdr:col>4</xdr:col>
                    <xdr:colOff>561975</xdr:colOff>
                    <xdr:row>136</xdr:row>
                    <xdr:rowOff>9525</xdr:rowOff>
                  </to>
                </anchor>
              </controlPr>
            </control>
          </mc:Choice>
        </mc:AlternateContent>
        <mc:AlternateContent xmlns:mc="http://schemas.openxmlformats.org/markup-compatibility/2006">
          <mc:Choice Requires="x14">
            <control shapeId="4118" r:id="rId24" name="Check Box 22">
              <controlPr defaultSize="0" autoFill="0" autoLine="0" autoPict="0">
                <anchor moveWithCells="1">
                  <from>
                    <xdr:col>4</xdr:col>
                    <xdr:colOff>152400</xdr:colOff>
                    <xdr:row>135</xdr:row>
                    <xdr:rowOff>180975</xdr:rowOff>
                  </from>
                  <to>
                    <xdr:col>4</xdr:col>
                    <xdr:colOff>542925</xdr:colOff>
                    <xdr:row>137</xdr:row>
                    <xdr:rowOff>9525</xdr:rowOff>
                  </to>
                </anchor>
              </controlPr>
            </control>
          </mc:Choice>
        </mc:AlternateContent>
        <mc:AlternateContent xmlns:mc="http://schemas.openxmlformats.org/markup-compatibility/2006">
          <mc:Choice Requires="x14">
            <control shapeId="4119" r:id="rId25" name="Check Box 23">
              <controlPr defaultSize="0" autoFill="0" autoLine="0" autoPict="0">
                <anchor moveWithCells="1">
                  <from>
                    <xdr:col>4</xdr:col>
                    <xdr:colOff>142875</xdr:colOff>
                    <xdr:row>137</xdr:row>
                    <xdr:rowOff>0</xdr:rowOff>
                  </from>
                  <to>
                    <xdr:col>4</xdr:col>
                    <xdr:colOff>533400</xdr:colOff>
                    <xdr:row>138</xdr:row>
                    <xdr:rowOff>28575</xdr:rowOff>
                  </to>
                </anchor>
              </controlPr>
            </control>
          </mc:Choice>
        </mc:AlternateContent>
        <mc:AlternateContent xmlns:mc="http://schemas.openxmlformats.org/markup-compatibility/2006">
          <mc:Choice Requires="x14">
            <control shapeId="4120" r:id="rId26" name="Check Box 24">
              <controlPr defaultSize="0" autoFill="0" autoLine="0" autoPict="0">
                <anchor moveWithCells="1">
                  <from>
                    <xdr:col>4</xdr:col>
                    <xdr:colOff>152400</xdr:colOff>
                    <xdr:row>132</xdr:row>
                    <xdr:rowOff>180975</xdr:rowOff>
                  </from>
                  <to>
                    <xdr:col>4</xdr:col>
                    <xdr:colOff>542925</xdr:colOff>
                    <xdr:row>134</xdr:row>
                    <xdr:rowOff>9525</xdr:rowOff>
                  </to>
                </anchor>
              </controlPr>
            </control>
          </mc:Choice>
        </mc:AlternateContent>
        <mc:AlternateContent xmlns:mc="http://schemas.openxmlformats.org/markup-compatibility/2006">
          <mc:Choice Requires="x14">
            <control shapeId="4121" r:id="rId27" name="Check Box 25">
              <controlPr defaultSize="0" autoFill="0" autoLine="0" autoPict="0">
                <anchor moveWithCells="1">
                  <from>
                    <xdr:col>4</xdr:col>
                    <xdr:colOff>142875</xdr:colOff>
                    <xdr:row>138</xdr:row>
                    <xdr:rowOff>0</xdr:rowOff>
                  </from>
                  <to>
                    <xdr:col>4</xdr:col>
                    <xdr:colOff>533400</xdr:colOff>
                    <xdr:row>139</xdr:row>
                    <xdr:rowOff>28575</xdr:rowOff>
                  </to>
                </anchor>
              </controlPr>
            </control>
          </mc:Choice>
        </mc:AlternateContent>
        <mc:AlternateContent xmlns:mc="http://schemas.openxmlformats.org/markup-compatibility/2006">
          <mc:Choice Requires="x14">
            <control shapeId="4122" r:id="rId28" name="Check Box 26">
              <controlPr defaultSize="0" autoFill="0" autoLine="0" autoPict="0">
                <anchor moveWithCells="1">
                  <from>
                    <xdr:col>4</xdr:col>
                    <xdr:colOff>142875</xdr:colOff>
                    <xdr:row>139</xdr:row>
                    <xdr:rowOff>9525</xdr:rowOff>
                  </from>
                  <to>
                    <xdr:col>4</xdr:col>
                    <xdr:colOff>533400</xdr:colOff>
                    <xdr:row>140</xdr:row>
                    <xdr:rowOff>38100</xdr:rowOff>
                  </to>
                </anchor>
              </controlPr>
            </control>
          </mc:Choice>
        </mc:AlternateContent>
        <mc:AlternateContent xmlns:mc="http://schemas.openxmlformats.org/markup-compatibility/2006">
          <mc:Choice Requires="x14">
            <control shapeId="4123" r:id="rId29" name="Check Box 27">
              <controlPr defaultSize="0" autoFill="0" autoLine="0" autoPict="0">
                <anchor moveWithCells="1">
                  <from>
                    <xdr:col>4</xdr:col>
                    <xdr:colOff>142875</xdr:colOff>
                    <xdr:row>140</xdr:row>
                    <xdr:rowOff>0</xdr:rowOff>
                  </from>
                  <to>
                    <xdr:col>4</xdr:col>
                    <xdr:colOff>533400</xdr:colOff>
                    <xdr:row>141</xdr:row>
                    <xdr:rowOff>28575</xdr:rowOff>
                  </to>
                </anchor>
              </controlPr>
            </control>
          </mc:Choice>
        </mc:AlternateContent>
        <mc:AlternateContent xmlns:mc="http://schemas.openxmlformats.org/markup-compatibility/2006">
          <mc:Choice Requires="x14">
            <control shapeId="4124" r:id="rId30" name="Check Box 28">
              <controlPr defaultSize="0" autoFill="0" autoLine="0" autoPict="0">
                <anchor moveWithCells="1">
                  <from>
                    <xdr:col>4</xdr:col>
                    <xdr:colOff>142875</xdr:colOff>
                    <xdr:row>141</xdr:row>
                    <xdr:rowOff>28575</xdr:rowOff>
                  </from>
                  <to>
                    <xdr:col>4</xdr:col>
                    <xdr:colOff>533400</xdr:colOff>
                    <xdr:row>142</xdr:row>
                    <xdr:rowOff>47625</xdr:rowOff>
                  </to>
                </anchor>
              </controlPr>
            </control>
          </mc:Choice>
        </mc:AlternateContent>
        <mc:AlternateContent xmlns:mc="http://schemas.openxmlformats.org/markup-compatibility/2006">
          <mc:Choice Requires="x14">
            <control shapeId="4125" r:id="rId31" name="Check Box 29">
              <controlPr defaultSize="0" autoFill="0" autoLine="0" autoPict="0">
                <anchor moveWithCells="1">
                  <from>
                    <xdr:col>4</xdr:col>
                    <xdr:colOff>142875</xdr:colOff>
                    <xdr:row>157</xdr:row>
                    <xdr:rowOff>180975</xdr:rowOff>
                  </from>
                  <to>
                    <xdr:col>4</xdr:col>
                    <xdr:colOff>533400</xdr:colOff>
                    <xdr:row>159</xdr:row>
                    <xdr:rowOff>28575</xdr:rowOff>
                  </to>
                </anchor>
              </controlPr>
            </control>
          </mc:Choice>
        </mc:AlternateContent>
        <mc:AlternateContent xmlns:mc="http://schemas.openxmlformats.org/markup-compatibility/2006">
          <mc:Choice Requires="x14">
            <control shapeId="4126" r:id="rId32" name="Check Box 30">
              <controlPr defaultSize="0" autoFill="0" autoLine="0" autoPict="0">
                <anchor moveWithCells="1">
                  <from>
                    <xdr:col>4</xdr:col>
                    <xdr:colOff>142875</xdr:colOff>
                    <xdr:row>158</xdr:row>
                    <xdr:rowOff>180975</xdr:rowOff>
                  </from>
                  <to>
                    <xdr:col>4</xdr:col>
                    <xdr:colOff>533400</xdr:colOff>
                    <xdr:row>160</xdr:row>
                    <xdr:rowOff>28575</xdr:rowOff>
                  </to>
                </anchor>
              </controlPr>
            </control>
          </mc:Choice>
        </mc:AlternateContent>
        <mc:AlternateContent xmlns:mc="http://schemas.openxmlformats.org/markup-compatibility/2006">
          <mc:Choice Requires="x14">
            <control shapeId="4127" r:id="rId33" name="Check Box 31">
              <controlPr defaultSize="0" autoFill="0" autoLine="0" autoPict="0">
                <anchor moveWithCells="1">
                  <from>
                    <xdr:col>4</xdr:col>
                    <xdr:colOff>142875</xdr:colOff>
                    <xdr:row>160</xdr:row>
                    <xdr:rowOff>0</xdr:rowOff>
                  </from>
                  <to>
                    <xdr:col>4</xdr:col>
                    <xdr:colOff>533400</xdr:colOff>
                    <xdr:row>161</xdr:row>
                    <xdr:rowOff>28575</xdr:rowOff>
                  </to>
                </anchor>
              </controlPr>
            </control>
          </mc:Choice>
        </mc:AlternateContent>
        <mc:AlternateContent xmlns:mc="http://schemas.openxmlformats.org/markup-compatibility/2006">
          <mc:Choice Requires="x14">
            <control shapeId="4128" r:id="rId34" name="Check Box 32">
              <controlPr defaultSize="0" autoFill="0" autoLine="0" autoPict="0">
                <anchor moveWithCells="1">
                  <from>
                    <xdr:col>4</xdr:col>
                    <xdr:colOff>142875</xdr:colOff>
                    <xdr:row>161</xdr:row>
                    <xdr:rowOff>0</xdr:rowOff>
                  </from>
                  <to>
                    <xdr:col>4</xdr:col>
                    <xdr:colOff>533400</xdr:colOff>
                    <xdr:row>162</xdr:row>
                    <xdr:rowOff>28575</xdr:rowOff>
                  </to>
                </anchor>
              </controlPr>
            </control>
          </mc:Choice>
        </mc:AlternateContent>
        <mc:AlternateContent xmlns:mc="http://schemas.openxmlformats.org/markup-compatibility/2006">
          <mc:Choice Requires="x14">
            <control shapeId="4129" r:id="rId35" name="Check Box 33">
              <controlPr defaultSize="0" autoFill="0" autoLine="0" autoPict="0">
                <anchor moveWithCells="1">
                  <from>
                    <xdr:col>4</xdr:col>
                    <xdr:colOff>142875</xdr:colOff>
                    <xdr:row>161</xdr:row>
                    <xdr:rowOff>180975</xdr:rowOff>
                  </from>
                  <to>
                    <xdr:col>4</xdr:col>
                    <xdr:colOff>533400</xdr:colOff>
                    <xdr:row>163</xdr:row>
                    <xdr:rowOff>9525</xdr:rowOff>
                  </to>
                </anchor>
              </controlPr>
            </control>
          </mc:Choice>
        </mc:AlternateContent>
        <mc:AlternateContent xmlns:mc="http://schemas.openxmlformats.org/markup-compatibility/2006">
          <mc:Choice Requires="x14">
            <control shapeId="4130" r:id="rId36" name="Check Box 34">
              <controlPr defaultSize="0" autoFill="0" autoLine="0" autoPict="0">
                <anchor moveWithCells="1">
                  <from>
                    <xdr:col>4</xdr:col>
                    <xdr:colOff>142875</xdr:colOff>
                    <xdr:row>162</xdr:row>
                    <xdr:rowOff>180975</xdr:rowOff>
                  </from>
                  <to>
                    <xdr:col>4</xdr:col>
                    <xdr:colOff>533400</xdr:colOff>
                    <xdr:row>164</xdr:row>
                    <xdr:rowOff>9525</xdr:rowOff>
                  </to>
                </anchor>
              </controlPr>
            </control>
          </mc:Choice>
        </mc:AlternateContent>
        <mc:AlternateContent xmlns:mc="http://schemas.openxmlformats.org/markup-compatibility/2006">
          <mc:Choice Requires="x14">
            <control shapeId="4131" r:id="rId37" name="Check Box 35">
              <controlPr defaultSize="0" autoFill="0" autoLine="0" autoPict="0">
                <anchor moveWithCells="1">
                  <from>
                    <xdr:col>4</xdr:col>
                    <xdr:colOff>142875</xdr:colOff>
                    <xdr:row>163</xdr:row>
                    <xdr:rowOff>180975</xdr:rowOff>
                  </from>
                  <to>
                    <xdr:col>4</xdr:col>
                    <xdr:colOff>533400</xdr:colOff>
                    <xdr:row>165</xdr:row>
                    <xdr:rowOff>28575</xdr:rowOff>
                  </to>
                </anchor>
              </controlPr>
            </control>
          </mc:Choice>
        </mc:AlternateContent>
        <mc:AlternateContent xmlns:mc="http://schemas.openxmlformats.org/markup-compatibility/2006">
          <mc:Choice Requires="x14">
            <control shapeId="4132" r:id="rId38" name="Check Box 36">
              <controlPr defaultSize="0" autoFill="0" autoLine="0" autoPict="0">
                <anchor moveWithCells="1">
                  <from>
                    <xdr:col>4</xdr:col>
                    <xdr:colOff>142875</xdr:colOff>
                    <xdr:row>164</xdr:row>
                    <xdr:rowOff>180975</xdr:rowOff>
                  </from>
                  <to>
                    <xdr:col>4</xdr:col>
                    <xdr:colOff>533400</xdr:colOff>
                    <xdr:row>166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5AD3B89-0D46-4841-A20E-4B2A0077C4EA}">
            <xm:f>$I$53='Macintosh:Users:vinzenzmark:Dropbox:LS:LS Auswertung:Eingabetool:[Eingabetool.xlsx]Listen 1'!#REF!</xm:f>
            <x14:dxf>
              <font>
                <color auto="1"/>
              </font>
            </x14:dxf>
          </x14:cfRule>
          <xm:sqref>D49:E51 E53</xm:sqref>
        </x14:conditionalFormatting>
        <x14:conditionalFormatting xmlns:xm="http://schemas.microsoft.com/office/excel/2006/main">
          <x14:cfRule type="expression" priority="6" id="{37D29890-6F61-4134-94C5-464D06A3D648}">
            <xm:f>$I$53='Macintosh:Users:vinzenzmark:Dropbox:LS:LS Auswertung:Eingabetool:[Eingabetool.xlsx]Listen 1'!#REF!</xm:f>
            <x14:dxf>
              <fill>
                <patternFill>
                  <bgColor theme="2" tint="-9.9948118533890809E-2"/>
                </patternFill>
              </fill>
            </x14:dxf>
          </x14:cfRule>
          <xm:sqref>E49:E51</xm:sqref>
        </x14:conditionalFormatting>
        <x14:conditionalFormatting xmlns:xm="http://schemas.microsoft.com/office/excel/2006/main">
          <x14:cfRule type="expression" priority="5" id="{E2E1E5D9-47D3-4B3B-9083-F9E2AA7F6F86}">
            <xm:f>$I$53='Macintosh:Users:vinzenzmark:Dropbox:LS:LS Auswertung:Eingabetool:[Eingabetool.xlsx]Listen 1'!#REF!</xm:f>
            <x14:dxf>
              <font>
                <color auto="1"/>
              </font>
            </x14:dxf>
          </x14:cfRule>
          <xm:sqref>D54:D61</xm:sqref>
        </x14:conditionalFormatting>
        <x14:conditionalFormatting xmlns:xm="http://schemas.microsoft.com/office/excel/2006/main">
          <x14:cfRule type="expression" priority="4" id="{330EA6FD-73D6-43C6-B7C1-BB2C626BA267}">
            <xm:f>$I$53='Macintosh:Users:vinzenzmark:Dropbox:LS:LS Auswertung:Eingabetool:[Eingabetool.xlsx]Listen 1'!#REF!</xm:f>
            <x14:dxf>
              <fill>
                <patternFill>
                  <bgColor theme="2" tint="-9.9948118533890809E-2"/>
                </patternFill>
              </fill>
            </x14:dxf>
          </x14:cfRule>
          <xm:sqref>E54:E56</xm:sqref>
        </x14:conditionalFormatting>
        <x14:conditionalFormatting xmlns:xm="http://schemas.microsoft.com/office/excel/2006/main">
          <x14:cfRule type="expression" priority="3" id="{FB6991D8-DEA6-4DB8-914B-90483FFC3455}">
            <xm:f>$I$151='Macintosh:Users:vinzenzmark:Dropbox:LS:LS Auswertung:Eingabetool:[Eingabetool.xlsx]Listen 1'!#REF!</xm:f>
            <x14:dxf>
              <fill>
                <patternFill>
                  <bgColor theme="2" tint="-9.9948118533890809E-2"/>
                </patternFill>
              </fill>
            </x14:dxf>
          </x14:cfRule>
          <xm:sqref>E149:E152</xm:sqref>
        </x14:conditionalFormatting>
        <x14:conditionalFormatting xmlns:xm="http://schemas.microsoft.com/office/excel/2006/main">
          <x14:cfRule type="expression" priority="2" id="{576FD502-7D44-4FE0-ABCC-571709031FB3}">
            <xm:f>$I$151='Macintosh:Users:vinzenzmark:Dropbox:LS:LS Auswertung:Eingabetool:[Eingabetool.xlsx]Listen 1'!#REF!</xm:f>
            <x14:dxf>
              <fill>
                <patternFill>
                  <bgColor theme="2" tint="-9.9948118533890809E-2"/>
                </patternFill>
              </fill>
            </x14:dxf>
          </x14:cfRule>
          <xm:sqref>F150:F151</xm:sqref>
        </x14:conditionalFormatting>
        <x14:conditionalFormatting xmlns:xm="http://schemas.microsoft.com/office/excel/2006/main">
          <x14:cfRule type="expression" priority="1" id="{DDBD23AE-41C2-484A-91C4-1CB931DD941E}">
            <xm:f>$I$151='Macintosh:Users:vinzenzmark:Dropbox:LS:LS Auswertung:Eingabetool:[Eingabetool.xlsx]Listen 1'!#REF!</xm:f>
            <x14:dxf>
              <fill>
                <patternFill>
                  <bgColor theme="2" tint="-9.9948118533890809E-2"/>
                </patternFill>
              </fill>
            </x14:dxf>
          </x14:cfRule>
          <xm:sqref>F149:F152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'[1]Listen 1'!#REF!</xm:f>
          </x14:formula1>
          <xm:sqref>E34:E37</xm:sqref>
        </x14:dataValidation>
        <x14:dataValidation type="list" allowBlank="1" showInputMessage="1" showErrorMessage="1">
          <x14:formula1>
            <xm:f>'[1]Listen 1'!#REF!</xm:f>
          </x14:formula1>
          <xm:sqref>E95 E101 E107</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enableFormatConditionsCalculation="0"/>
  <dimension ref="A1:AJ273"/>
  <sheetViews>
    <sheetView showRowColHeaders="0" workbookViewId="0">
      <pane ySplit="6" topLeftCell="A7" activePane="bottomLeft" state="frozen"/>
      <selection pane="bottomLeft"/>
    </sheetView>
  </sheetViews>
  <sheetFormatPr baseColWidth="10" defaultColWidth="10.85546875" defaultRowHeight="15" x14ac:dyDescent="0.25"/>
  <cols>
    <col min="1" max="1" width="10.85546875" style="30"/>
    <col min="2" max="2" width="13.85546875" style="2" customWidth="1"/>
    <col min="3" max="3" width="11.28515625" style="30" customWidth="1"/>
    <col min="4" max="4" width="7.140625" style="30" customWidth="1"/>
    <col min="5" max="5" width="7" style="2" customWidth="1"/>
    <col min="6" max="6" width="5.42578125" style="30" customWidth="1"/>
    <col min="7" max="7" width="24.42578125" style="2" customWidth="1"/>
    <col min="8" max="8" width="6.140625" style="30" customWidth="1"/>
    <col min="9" max="9" width="5.28515625" style="2" customWidth="1"/>
    <col min="10" max="10" width="8.140625" style="2" customWidth="1"/>
    <col min="11" max="11" width="7" style="1" customWidth="1"/>
    <col min="12" max="12" width="2" style="2" customWidth="1"/>
    <col min="13" max="13" width="4.28515625" style="2" customWidth="1"/>
    <col min="14" max="14" width="10.85546875" style="30"/>
    <col min="15" max="16384" width="10.85546875" style="2"/>
  </cols>
  <sheetData>
    <row r="1" spans="2:36" ht="15" hidden="1" customHeight="1" x14ac:dyDescent="0.25"/>
    <row r="2" spans="2:36" ht="59.25" customHeight="1" x14ac:dyDescent="0.45">
      <c r="B2" s="159" t="s">
        <v>1261</v>
      </c>
      <c r="C2" s="159"/>
      <c r="D2" s="159"/>
      <c r="E2" s="159"/>
      <c r="F2" s="159"/>
      <c r="G2" s="7"/>
      <c r="H2" s="7"/>
    </row>
    <row r="3" spans="2:36" ht="30.75" customHeight="1" x14ac:dyDescent="0.25"/>
    <row r="4" spans="2:36" ht="7.5" customHeight="1" x14ac:dyDescent="0.25"/>
    <row r="5" spans="2:36" s="1" customFormat="1" ht="6.75" customHeight="1" x14ac:dyDescent="0.25"/>
    <row r="6" spans="2:36" s="1" customFormat="1" ht="6.75" customHeight="1" x14ac:dyDescent="0.25"/>
    <row r="7" spans="2:36" x14ac:dyDescent="0.25">
      <c r="B7" s="11"/>
      <c r="E7" s="29"/>
      <c r="G7" s="11"/>
      <c r="I7" s="11"/>
      <c r="J7" s="11"/>
      <c r="L7" s="11"/>
      <c r="M7" s="11"/>
    </row>
    <row r="8" spans="2:36" x14ac:dyDescent="0.25">
      <c r="B8" s="3" t="s">
        <v>103</v>
      </c>
      <c r="C8" s="110" t="str">
        <f>'Basis f1'!C8&amp;" Antworten"</f>
        <v>89 Antworten</v>
      </c>
      <c r="D8" s="3"/>
      <c r="E8" s="11"/>
      <c r="G8" s="11"/>
      <c r="I8" s="11"/>
      <c r="J8" s="11"/>
      <c r="L8" s="11"/>
      <c r="M8" s="11"/>
    </row>
    <row r="9" spans="2:36" x14ac:dyDescent="0.25">
      <c r="B9" s="11" t="s">
        <v>104</v>
      </c>
      <c r="D9" s="131">
        <f>COUNTIFS(tc,B9,SuchSpalte,AuswahlFilter1)/IF(Prozent=TRUE,'Basis f1'!$C$8,1)</f>
        <v>0</v>
      </c>
      <c r="E9" s="78" t="str">
        <f>IF(COUNTIFS(tc,B9,SuchSpalte,AuswahlFilter2)=1,"X","")</f>
        <v/>
      </c>
      <c r="G9" s="11" t="s">
        <v>109</v>
      </c>
      <c r="H9" s="131">
        <f>COUNTIFS(tc,G9,SuchSpalte,AuswahlFilter1)/IF(Prozent=TRUE,'Basis f1'!$C$8,1)</f>
        <v>0.5168539325842697</v>
      </c>
      <c r="I9" s="78" t="str">
        <f>IF(COUNTIFS(tc,G9,SuchSpalte,AuswahlFilter2)=1,"X","")</f>
        <v/>
      </c>
      <c r="J9" s="11"/>
      <c r="L9" s="11"/>
      <c r="M9" s="11"/>
      <c r="AJ9" s="145" t="b">
        <v>1</v>
      </c>
    </row>
    <row r="10" spans="2:36" x14ac:dyDescent="0.25">
      <c r="B10" s="11" t="s">
        <v>105</v>
      </c>
      <c r="D10" s="131">
        <f>COUNTIFS(tc,B10,SuchSpalte,AuswahlFilter1)/IF(Prozent=TRUE,'Basis f1'!$C$8,1)</f>
        <v>2.247191011235955E-2</v>
      </c>
      <c r="E10" s="78" t="str">
        <f>IF(COUNTIFS(tc,B10,SuchSpalte,AuswahlFilter2)=1,"X","")</f>
        <v/>
      </c>
      <c r="G10" s="11" t="s">
        <v>110</v>
      </c>
      <c r="H10" s="131">
        <f>COUNTIFS(tc,G10,SuchSpalte,AuswahlFilter1)/IF(Prozent=TRUE,'Basis f1'!$C$8,1)</f>
        <v>0.30337078651685395</v>
      </c>
      <c r="I10" s="78" t="str">
        <f>IF(COUNTIFS(tc,G10,SuchSpalte,AuswahlFilter2)=1,"X","")</f>
        <v/>
      </c>
      <c r="J10" s="11"/>
      <c r="L10" s="11"/>
      <c r="M10" s="11"/>
      <c r="O10" s="30"/>
      <c r="AJ10" s="145">
        <f>IF(Prozent=TRUE,1,0)</f>
        <v>1</v>
      </c>
    </row>
    <row r="11" spans="2:36" x14ac:dyDescent="0.25">
      <c r="B11" s="11" t="s">
        <v>106</v>
      </c>
      <c r="D11" s="131">
        <f>COUNTIFS(tc,B11,SuchSpalte,AuswahlFilter1)/IF(Prozent=TRUE,'Basis f1'!$C$8,1)</f>
        <v>1.1235955056179775E-2</v>
      </c>
      <c r="E11" s="78" t="str">
        <f>IF(COUNTIFS(tc,B11,SuchSpalte,AuswahlFilter2)=1,"X","")</f>
        <v/>
      </c>
      <c r="G11" s="11" t="s">
        <v>111</v>
      </c>
      <c r="H11" s="131">
        <f>COUNTIFS(tc,G11,SuchSpalte,AuswahlFilter1)/IF(Prozent=TRUE,'Basis f1'!$C$8,1)</f>
        <v>0.10112359550561797</v>
      </c>
      <c r="I11" s="78" t="str">
        <f>IF(COUNTIFS(tc,G11,SuchSpalte,AuswahlFilter2)=1,"X","")</f>
        <v/>
      </c>
      <c r="J11" s="11"/>
      <c r="L11" s="11"/>
      <c r="M11" s="11"/>
    </row>
    <row r="12" spans="2:36" x14ac:dyDescent="0.25">
      <c r="B12" s="11" t="s">
        <v>107</v>
      </c>
      <c r="D12" s="131">
        <f>COUNTIFS(tc,B12,SuchSpalte,AuswahlFilter1)/IF(Prozent=TRUE,'Basis f1'!$C$8,1)</f>
        <v>0</v>
      </c>
      <c r="E12" s="78" t="str">
        <f>IF(COUNTIFS(tc,B12,SuchSpalte,AuswahlFilter2)=1,"X","")</f>
        <v/>
      </c>
      <c r="G12" s="11" t="s">
        <v>112</v>
      </c>
      <c r="H12" s="131">
        <f>COUNTIFS(tc,G12,SuchSpalte,AuswahlFilter1)/IF(Prozent=TRUE,'Basis f1'!$C$8,1)</f>
        <v>1.1235955056179775E-2</v>
      </c>
      <c r="I12" s="78" t="str">
        <f>IF(COUNTIFS(tc,G12,SuchSpalte,AuswahlFilter2)=1,"X","")</f>
        <v/>
      </c>
      <c r="J12" s="11"/>
      <c r="L12" s="11"/>
      <c r="M12" s="11"/>
      <c r="N12" s="130"/>
      <c r="O12" s="30"/>
      <c r="P12" s="30"/>
    </row>
    <row r="13" spans="2:36" x14ac:dyDescent="0.25">
      <c r="B13" s="11" t="s">
        <v>108</v>
      </c>
      <c r="D13" s="131">
        <f>COUNTIFS(tc,B13,SuchSpalte,AuswahlFilter1)/IF(Prozent=TRUE,'Basis f1'!$C$8,1)</f>
        <v>3.3707865168539325E-2</v>
      </c>
      <c r="E13" s="78" t="str">
        <f>IF(COUNTIFS(tc,B13,SuchSpalte,AuswahlFilter2)=1,"X","")</f>
        <v/>
      </c>
      <c r="G13" s="11"/>
      <c r="H13" s="6"/>
      <c r="I13" s="6"/>
      <c r="J13" s="11"/>
      <c r="L13" s="11"/>
      <c r="M13" s="11"/>
    </row>
    <row r="14" spans="2:36" x14ac:dyDescent="0.25">
      <c r="B14" s="11"/>
      <c r="D14" s="6"/>
      <c r="E14" s="6"/>
      <c r="G14" s="11"/>
      <c r="H14" s="6"/>
      <c r="I14" s="6"/>
      <c r="J14" s="11"/>
      <c r="L14" s="11"/>
      <c r="M14" s="11"/>
    </row>
    <row r="15" spans="2:36" x14ac:dyDescent="0.25">
      <c r="B15" s="11"/>
      <c r="D15" s="6"/>
      <c r="E15" s="6"/>
      <c r="G15" s="11"/>
      <c r="H15" s="6"/>
      <c r="I15" s="6"/>
      <c r="J15" s="11"/>
      <c r="L15" s="11"/>
      <c r="M15" s="11"/>
    </row>
    <row r="16" spans="2:36" x14ac:dyDescent="0.25">
      <c r="B16" s="3" t="s">
        <v>113</v>
      </c>
      <c r="C16" s="110" t="str">
        <f>'Basis f1'!C16&amp;" Antworten"</f>
        <v>89 Antworten</v>
      </c>
      <c r="D16" s="67"/>
      <c r="E16" s="6"/>
      <c r="G16" s="11"/>
      <c r="H16" s="6"/>
      <c r="I16" s="6"/>
      <c r="J16" s="11"/>
      <c r="L16" s="11"/>
      <c r="M16" s="11"/>
    </row>
    <row r="17" spans="1:14" x14ac:dyDescent="0.25">
      <c r="B17" s="11" t="s">
        <v>114</v>
      </c>
      <c r="D17" s="78">
        <f>COUNTIFS(tg,B17,SuchSpalte,AuswahlFilter1)/IF(Prozent=TRUE,'Basis f1'!C16,1)</f>
        <v>1</v>
      </c>
      <c r="E17" s="78" t="str">
        <f>IF(COUNTIFS(tg,B17,SuchSpalte,AuswahlFilter2)=1,"X","")</f>
        <v/>
      </c>
      <c r="G17" s="11" t="s">
        <v>115</v>
      </c>
      <c r="H17" s="78">
        <f>COUNTIFS(tg,G17,SuchSpalte,AuswahlFilter1)/IF(Prozent=TRUE,'Basis f1'!C16,1)</f>
        <v>0</v>
      </c>
      <c r="I17" s="78" t="str">
        <f>IF(COUNTIFS(tg,G17,SuchSpalte,AuswahlFilter2)=1,"X","")</f>
        <v/>
      </c>
      <c r="J17" s="11"/>
      <c r="L17" s="11"/>
      <c r="M17" s="11"/>
    </row>
    <row r="18" spans="1:14" x14ac:dyDescent="0.25">
      <c r="B18" s="11"/>
      <c r="D18" s="6"/>
      <c r="E18" s="6"/>
      <c r="G18" s="11"/>
      <c r="H18" s="6"/>
      <c r="I18" s="6"/>
      <c r="J18" s="11"/>
      <c r="L18" s="11"/>
      <c r="M18" s="11"/>
    </row>
    <row r="19" spans="1:14" x14ac:dyDescent="0.25">
      <c r="B19" s="3" t="s">
        <v>116</v>
      </c>
      <c r="C19" s="110" t="str">
        <f>'Basis f1'!C19&amp;" Antworten"</f>
        <v>134 Antworten</v>
      </c>
      <c r="D19" s="67"/>
      <c r="E19" s="6"/>
      <c r="G19" s="11"/>
      <c r="H19" s="6"/>
      <c r="I19" s="6"/>
      <c r="J19" s="11"/>
      <c r="L19" s="11"/>
      <c r="M19" s="11"/>
    </row>
    <row r="20" spans="1:14" x14ac:dyDescent="0.25">
      <c r="B20" s="11" t="s">
        <v>117</v>
      </c>
      <c r="D20" s="78">
        <f>(COUNTIFS(tp,B20,SuchSpalte,AuswahlFilter1)+COUNTIFS(tq,B20,SuchSpalte,AuswahlFilter1)+COUNTIFS(tr,B20,SuchSpalte,AuswahlFilter1))/IF(Prozent=TRUE,'Basis f1'!$C$19,1)</f>
        <v>8.2089552238805971E-2</v>
      </c>
      <c r="E20" s="78" t="str">
        <f>IF(COUNTIFS(tp,B20,SuchSpalte,AuswahlFilter2)=1,"X","")</f>
        <v/>
      </c>
      <c r="G20" s="11" t="s">
        <v>122</v>
      </c>
      <c r="H20" s="78">
        <f>(COUNTIFS(tp,G20,SuchSpalte,AuswahlFilter1)+COUNTIFS(tq,G20,SuchSpalte,AuswahlFilter1)+COUNTIFS(tr,G20,SuchSpalte,AuswahlFilter1))/IF(Prozent=TRUE,'Basis f1'!$C$19,1)</f>
        <v>6.7164179104477612E-2</v>
      </c>
      <c r="I20" s="78" t="str">
        <f>IF(COUNTIFS(tp,G20,SuchSpalte,AuswahlFilter2)=1,"X","")</f>
        <v/>
      </c>
      <c r="J20" s="30"/>
      <c r="L20" s="11"/>
      <c r="M20" s="11"/>
    </row>
    <row r="21" spans="1:14" x14ac:dyDescent="0.25">
      <c r="B21" s="11" t="s">
        <v>118</v>
      </c>
      <c r="D21" s="78">
        <f>(COUNTIFS(tp,B21,SuchSpalte,AuswahlFilter1)+COUNTIFS(tq,B21,SuchSpalte,AuswahlFilter1)+COUNTIFS(tr,B21,SuchSpalte,AuswahlFilter1))/IF(Prozent=TRUE,'Basis f1'!$C$19,1)</f>
        <v>0.34328358208955223</v>
      </c>
      <c r="E21" s="79" t="str">
        <f>IF(COUNTIFS(tp,B21,SuchSpalte,AuswahlFilter2)=1,"X","")</f>
        <v/>
      </c>
      <c r="G21" s="11" t="s">
        <v>123</v>
      </c>
      <c r="H21" s="78">
        <f>(COUNTIFS(tp,G21,SuchSpalte,AuswahlFilter1)+COUNTIFS(tq,G21,SuchSpalte,AuswahlFilter1)+COUNTIFS(tr,G21,SuchSpalte,AuswahlFilter1))/IF(Prozent=TRUE,'Basis f1'!$C$19,1)</f>
        <v>2.2388059701492536E-2</v>
      </c>
      <c r="I21" s="79" t="str">
        <f>IF(COUNTIFS(tp,G21,SuchSpalte,AuswahlFilter2)=1,"X","")</f>
        <v/>
      </c>
      <c r="J21" s="30"/>
      <c r="L21" s="11"/>
      <c r="M21" s="11"/>
    </row>
    <row r="22" spans="1:14" x14ac:dyDescent="0.25">
      <c r="B22" s="11" t="s">
        <v>119</v>
      </c>
      <c r="D22" s="78">
        <f>(COUNTIFS(tp,B22,SuchSpalte,AuswahlFilter1)+COUNTIFS(tq,B22,SuchSpalte,AuswahlFilter1)+COUNTIFS(tr,B22,SuchSpalte,AuswahlFilter1))/IF(Prozent=TRUE,'Basis f1'!$C$19,1)</f>
        <v>0.17164179104477612</v>
      </c>
      <c r="E22" s="79" t="str">
        <f>IF(COUNTIFS(tp,B22,SuchSpalte,AuswahlFilter2)=1,"X","")</f>
        <v/>
      </c>
      <c r="G22" s="11" t="s">
        <v>124</v>
      </c>
      <c r="H22" s="78">
        <f>(COUNTIFS(tp,G22,SuchSpalte,AuswahlFilter1)+COUNTIFS(tq,G22,SuchSpalte,AuswahlFilter1)+COUNTIFS(tr,G22,SuchSpalte,AuswahlFilter1))/IF(Prozent=TRUE,'Basis f1'!$C$19,1)</f>
        <v>2.2388059701492536E-2</v>
      </c>
      <c r="I22" s="79" t="str">
        <f>IF(COUNTIFS(tp,G22,SuchSpalte,AuswahlFilter2)=1,"X","")</f>
        <v/>
      </c>
      <c r="J22" s="30"/>
      <c r="L22" s="11"/>
      <c r="M22" s="11"/>
    </row>
    <row r="23" spans="1:14" x14ac:dyDescent="0.25">
      <c r="B23" s="11" t="s">
        <v>120</v>
      </c>
      <c r="D23" s="78">
        <f>(COUNTIFS(tp,B23,SuchSpalte,AuswahlFilter1)+COUNTIFS(tq,B23,SuchSpalte,AuswahlFilter1)+COUNTIFS(tr,B23,SuchSpalte,AuswahlFilter1))/IF(Prozent=TRUE,'Basis f1'!$C$19,1)</f>
        <v>0.14925373134328357</v>
      </c>
      <c r="E23" s="78" t="str">
        <f>IF(COUNTIFS(tp,B23,SuchSpalte,AuswahlFilter2)=1,"X","")</f>
        <v/>
      </c>
      <c r="G23" s="11" t="s">
        <v>125</v>
      </c>
      <c r="H23" s="78">
        <f>(COUNTIFS(tp,G23,SuchSpalte,AuswahlFilter1)+COUNTIFS(tq,G23,SuchSpalte,AuswahlFilter1)+COUNTIFS(tr,G23,SuchSpalte,AuswahlFilter1))/IF(Prozent=TRUE,'Basis f1'!$C$19,1)</f>
        <v>0</v>
      </c>
      <c r="I23" s="78" t="str">
        <f>IF(COUNTIFS(tp,G23,SuchSpalte,AuswahlFilter2)=1,"X","")</f>
        <v/>
      </c>
      <c r="J23" s="30"/>
      <c r="L23" s="11"/>
      <c r="M23" s="11"/>
    </row>
    <row r="24" spans="1:14" x14ac:dyDescent="0.25">
      <c r="B24" s="11" t="s">
        <v>121</v>
      </c>
      <c r="D24" s="78">
        <f>(COUNTIFS(tp,B24,SuchSpalte,AuswahlFilter1)+COUNTIFS(tq,B24,SuchSpalte,AuswahlFilter1)+COUNTIFS(tr,B24,SuchSpalte,AuswahlFilter1))/IF(Prozent=TRUE,'Basis f1'!$C$19,1)</f>
        <v>0.1417910447761194</v>
      </c>
      <c r="E24" s="78" t="str">
        <f>IF(COUNTIFS(tp,B24,SuchSpalte,AuswahlFilter2)=1,"X","")</f>
        <v/>
      </c>
      <c r="G24" s="11" t="s">
        <v>126</v>
      </c>
      <c r="H24" s="78">
        <f>(COUNTIFS(tp,G24,SuchSpalte,AuswahlFilter1)+COUNTIFS(tq,G24,SuchSpalte,AuswahlFilter1)+COUNTIFS(tr,G24,SuchSpalte,AuswahlFilter1))/IF(Prozent=TRUE,'Basis f1'!$C$19,1)</f>
        <v>0</v>
      </c>
      <c r="I24" s="78" t="str">
        <f>IF(COUNTIFS(tp,G24,SuchSpalte,AuswahlFilter2)=1,"X","")</f>
        <v/>
      </c>
      <c r="J24" s="30"/>
      <c r="L24" s="11"/>
      <c r="M24" s="11"/>
    </row>
    <row r="25" spans="1:14" s="11" customFormat="1" x14ac:dyDescent="0.25">
      <c r="A25" s="30"/>
      <c r="C25" s="30"/>
      <c r="D25" s="6"/>
      <c r="E25" s="6"/>
      <c r="F25" s="30"/>
      <c r="G25" s="29"/>
      <c r="H25" s="68"/>
      <c r="I25" s="6"/>
      <c r="K25" s="1"/>
      <c r="N25" s="30"/>
    </row>
    <row r="26" spans="1:14" x14ac:dyDescent="0.25">
      <c r="B26" s="3" t="s">
        <v>127</v>
      </c>
      <c r="C26" s="3"/>
      <c r="D26" s="67"/>
      <c r="E26" s="6"/>
      <c r="G26" s="11"/>
      <c r="H26" s="6"/>
      <c r="I26" s="6"/>
      <c r="J26" s="11"/>
      <c r="L26" s="11"/>
      <c r="M26" s="11"/>
    </row>
    <row r="27" spans="1:14" x14ac:dyDescent="0.25">
      <c r="B27" s="11"/>
      <c r="D27" s="6"/>
      <c r="E27" s="6"/>
      <c r="G27" s="11"/>
      <c r="H27" s="6"/>
      <c r="I27" s="6"/>
      <c r="J27" s="11"/>
      <c r="L27" s="11"/>
      <c r="M27" s="11"/>
    </row>
    <row r="28" spans="1:14" x14ac:dyDescent="0.25">
      <c r="B28" s="3" t="s">
        <v>19</v>
      </c>
      <c r="C28" s="110"/>
      <c r="D28" s="110" t="str">
        <f>'Basis f1'!C28&amp;" Antworten"</f>
        <v>67 Antworten</v>
      </c>
      <c r="E28" s="6"/>
      <c r="G28" s="11"/>
      <c r="H28" s="6"/>
      <c r="I28" s="6"/>
      <c r="J28" s="11"/>
      <c r="L28" s="11"/>
      <c r="M28" s="11"/>
    </row>
    <row r="29" spans="1:14" x14ac:dyDescent="0.25">
      <c r="B29" s="11" t="s">
        <v>104</v>
      </c>
      <c r="D29" s="78">
        <f>COUNTIFS(ts,B29,SuchSpalte,AuswahlFilter1)/IF(Prozent=TRUE,'Basis f1'!$C$28,1)</f>
        <v>2.9850746268656716E-2</v>
      </c>
      <c r="E29" s="78" t="str">
        <f t="shared" ref="E29:E38" si="0">IF(COUNTIFS(ts,B29,SuchSpalte,AuswahlFilter2)=1,"X","")</f>
        <v/>
      </c>
      <c r="G29" s="31" t="s">
        <v>137</v>
      </c>
      <c r="H29" s="78">
        <f>COUNTIFS(ts,G29,SuchSpalte,AuswahlFilter1)/IF(Prozent=TRUE,'Basis f1'!$C$28,1)</f>
        <v>0.17910447761194029</v>
      </c>
      <c r="I29" s="78" t="str">
        <f t="shared" ref="I29:I38" si="1">IF(COUNTIFS(ts,G29,SuchSpalte,AuswahlFilter2)=1,"X","")</f>
        <v/>
      </c>
      <c r="J29" s="11"/>
      <c r="L29" s="11"/>
      <c r="M29" s="11"/>
    </row>
    <row r="30" spans="1:14" x14ac:dyDescent="0.25">
      <c r="B30" s="11" t="s">
        <v>128</v>
      </c>
      <c r="D30" s="78">
        <f>COUNTIFS(ts,B30,SuchSpalte,AuswahlFilter1)/IF(Prozent=TRUE,'Basis f1'!$C$28,1)</f>
        <v>0.34328358208955223</v>
      </c>
      <c r="E30" s="79" t="str">
        <f t="shared" si="0"/>
        <v/>
      </c>
      <c r="G30" s="31" t="s">
        <v>138</v>
      </c>
      <c r="H30" s="78">
        <f>COUNTIFS(ts,G30,SuchSpalte,AuswahlFilter1)/IF(Prozent=TRUE,'Basis f1'!$C$28,1)</f>
        <v>1.4925373134328358E-2</v>
      </c>
      <c r="I30" s="79" t="str">
        <f t="shared" si="1"/>
        <v/>
      </c>
      <c r="J30" s="11"/>
      <c r="L30" s="11"/>
      <c r="M30" s="11"/>
    </row>
    <row r="31" spans="1:14" x14ac:dyDescent="0.25">
      <c r="B31" s="11" t="s">
        <v>129</v>
      </c>
      <c r="D31" s="78">
        <f>COUNTIFS(ts,B31,SuchSpalte,AuswahlFilter1)/IF(Prozent=TRUE,'Basis f1'!$C$28,1)</f>
        <v>2.9850746268656716E-2</v>
      </c>
      <c r="E31" s="79" t="str">
        <f t="shared" si="0"/>
        <v/>
      </c>
      <c r="G31" s="31" t="s">
        <v>139</v>
      </c>
      <c r="H31" s="78">
        <f>COUNTIFS(ts,G31,SuchSpalte,AuswahlFilter1)/IF(Prozent=TRUE,'Basis f1'!$C$28,1)</f>
        <v>0</v>
      </c>
      <c r="I31" s="79" t="str">
        <f t="shared" si="1"/>
        <v/>
      </c>
      <c r="J31" s="11"/>
      <c r="L31" s="11"/>
      <c r="M31" s="11"/>
    </row>
    <row r="32" spans="1:14" x14ac:dyDescent="0.25">
      <c r="B32" s="11" t="s">
        <v>130</v>
      </c>
      <c r="D32" s="78">
        <f>COUNTIFS(ts,B32,SuchSpalte,AuswahlFilter1)/IF(Prozent=TRUE,'Basis f1'!$C$28,1)</f>
        <v>0.1044776119402985</v>
      </c>
      <c r="E32" s="78" t="str">
        <f t="shared" si="0"/>
        <v/>
      </c>
      <c r="G32" s="31" t="s">
        <v>140</v>
      </c>
      <c r="H32" s="78">
        <f>COUNTIFS(ts,G32,SuchSpalte,AuswahlFilter1)/IF(Prozent=TRUE,'Basis f1'!$C$28,1)</f>
        <v>0</v>
      </c>
      <c r="I32" s="78" t="str">
        <f t="shared" si="1"/>
        <v/>
      </c>
      <c r="J32" s="11"/>
      <c r="L32" s="11"/>
      <c r="M32" s="11"/>
    </row>
    <row r="33" spans="1:14" x14ac:dyDescent="0.25">
      <c r="B33" s="11" t="s">
        <v>131</v>
      </c>
      <c r="D33" s="78">
        <f>COUNTIFS(ts,B33,SuchSpalte,AuswahlFilter1)/IF(Prozent=TRUE,'Basis f1'!$C$28,1)</f>
        <v>1.4925373134328358E-2</v>
      </c>
      <c r="E33" s="78" t="str">
        <f t="shared" si="0"/>
        <v/>
      </c>
      <c r="G33" s="31" t="s">
        <v>141</v>
      </c>
      <c r="H33" s="78">
        <f>COUNTIFS(ts,G33,SuchSpalte,AuswahlFilter1)/IF(Prozent=TRUE,'Basis f1'!$C$28,1)</f>
        <v>0</v>
      </c>
      <c r="I33" s="78" t="str">
        <f t="shared" si="1"/>
        <v/>
      </c>
      <c r="J33" s="11"/>
      <c r="L33" s="11"/>
      <c r="M33" s="11"/>
    </row>
    <row r="34" spans="1:14" x14ac:dyDescent="0.25">
      <c r="B34" s="11" t="s">
        <v>132</v>
      </c>
      <c r="D34" s="78">
        <f>COUNTIFS(ts,B34,SuchSpalte,AuswahlFilter1)/IF(Prozent=TRUE,'Basis f1'!$C$28,1)</f>
        <v>0.16417910447761194</v>
      </c>
      <c r="E34" s="79" t="str">
        <f t="shared" si="0"/>
        <v/>
      </c>
      <c r="G34" s="31" t="s">
        <v>142</v>
      </c>
      <c r="H34" s="78">
        <f>COUNTIFS(ts,G34,SuchSpalte,AuswahlFilter1)/IF(Prozent=TRUE,'Basis f1'!$C$28,1)</f>
        <v>0</v>
      </c>
      <c r="I34" s="79" t="str">
        <f t="shared" si="1"/>
        <v/>
      </c>
      <c r="J34" s="11"/>
      <c r="L34" s="11"/>
      <c r="M34" s="11"/>
    </row>
    <row r="35" spans="1:14" x14ac:dyDescent="0.25">
      <c r="B35" s="11" t="s">
        <v>133</v>
      </c>
      <c r="D35" s="78">
        <f>COUNTIFS(ts,B35,SuchSpalte,AuswahlFilter1)/IF(Prozent=TRUE,'Basis f1'!$C$28,1)</f>
        <v>4.4776119402985072E-2</v>
      </c>
      <c r="E35" s="79" t="str">
        <f t="shared" si="0"/>
        <v/>
      </c>
      <c r="G35" s="31" t="s">
        <v>143</v>
      </c>
      <c r="H35" s="78">
        <f>COUNTIFS(ts,G35,SuchSpalte,AuswahlFilter1)/IF(Prozent=TRUE,'Basis f1'!$C$28,1)</f>
        <v>1.4925373134328358E-2</v>
      </c>
      <c r="I35" s="79" t="str">
        <f t="shared" si="1"/>
        <v/>
      </c>
      <c r="J35" s="11"/>
      <c r="L35" s="11"/>
      <c r="M35" s="11"/>
    </row>
    <row r="36" spans="1:14" x14ac:dyDescent="0.25">
      <c r="B36" s="11" t="s">
        <v>134</v>
      </c>
      <c r="D36" s="78">
        <f>COUNTIFS(ts,B36,SuchSpalte,AuswahlFilter1)/IF(Prozent=TRUE,'Basis f1'!$C$28,1)</f>
        <v>1.4925373134328358E-2</v>
      </c>
      <c r="E36" s="78" t="str">
        <f t="shared" si="0"/>
        <v/>
      </c>
      <c r="G36" s="31" t="s">
        <v>144</v>
      </c>
      <c r="H36" s="78">
        <f>COUNTIFS(ts,G36,SuchSpalte,AuswahlFilter1)/IF(Prozent=TRUE,'Basis f1'!$C$28,1)</f>
        <v>1.4925373134328358E-2</v>
      </c>
      <c r="I36" s="78" t="str">
        <f t="shared" si="1"/>
        <v/>
      </c>
      <c r="J36" s="11"/>
      <c r="L36" s="11"/>
      <c r="M36" s="11"/>
    </row>
    <row r="37" spans="1:14" s="11" customFormat="1" x14ac:dyDescent="0.25">
      <c r="A37" s="30"/>
      <c r="B37" s="11" t="s">
        <v>135</v>
      </c>
      <c r="C37" s="30"/>
      <c r="D37" s="78">
        <f>COUNTIFS(ts,B37,SuchSpalte,AuswahlFilter1)/IF(Prozent=TRUE,'Basis f1'!$C$28,1)</f>
        <v>0</v>
      </c>
      <c r="E37" s="78" t="str">
        <f t="shared" si="0"/>
        <v/>
      </c>
      <c r="F37" s="30"/>
      <c r="G37" s="31" t="s">
        <v>145</v>
      </c>
      <c r="H37" s="78">
        <f>COUNTIFS(ts,G37,SuchSpalte,AuswahlFilter1)/IF(Prozent=TRUE,'Basis f1'!$C$28,1)</f>
        <v>2.9850746268656716E-2</v>
      </c>
      <c r="I37" s="78" t="str">
        <f t="shared" si="1"/>
        <v/>
      </c>
      <c r="K37" s="1"/>
      <c r="N37" s="30"/>
    </row>
    <row r="38" spans="1:14" s="11" customFormat="1" x14ac:dyDescent="0.25">
      <c r="A38" s="30"/>
      <c r="B38" s="11" t="s">
        <v>136</v>
      </c>
      <c r="C38" s="30"/>
      <c r="D38" s="78">
        <f>COUNTIFS(ts,B38,SuchSpalte,AuswahlFilter1)/IF(Prozent=TRUE,'Basis f1'!$C$28,1)</f>
        <v>0</v>
      </c>
      <c r="E38" s="79" t="str">
        <f t="shared" si="0"/>
        <v/>
      </c>
      <c r="F38" s="30"/>
      <c r="G38" s="31" t="s">
        <v>146</v>
      </c>
      <c r="H38" s="78">
        <f>COUNTIFS(ts,G38,SuchSpalte,AuswahlFilter1)/IF(Prozent=TRUE,'Basis f1'!$C$28,1)</f>
        <v>0</v>
      </c>
      <c r="I38" s="79" t="str">
        <f t="shared" si="1"/>
        <v/>
      </c>
      <c r="K38" s="1"/>
      <c r="N38" s="30"/>
    </row>
    <row r="39" spans="1:14" s="11" customFormat="1" x14ac:dyDescent="0.25">
      <c r="A39" s="30"/>
      <c r="C39" s="30"/>
      <c r="D39" s="6"/>
      <c r="E39" s="6"/>
      <c r="F39" s="30"/>
      <c r="G39" s="31"/>
      <c r="H39" s="80"/>
      <c r="I39" s="80"/>
      <c r="K39" s="1"/>
      <c r="N39" s="30"/>
    </row>
    <row r="40" spans="1:14" s="11" customFormat="1" x14ac:dyDescent="0.25">
      <c r="A40" s="30"/>
      <c r="B40" s="3" t="s">
        <v>20</v>
      </c>
      <c r="C40" s="3"/>
      <c r="D40" s="110" t="str">
        <f>'Basis f1'!C40&amp;" Antworten"</f>
        <v>23 Antworten</v>
      </c>
      <c r="E40" s="6"/>
      <c r="F40" s="30"/>
      <c r="G40" s="31"/>
      <c r="H40" s="80"/>
      <c r="I40" s="80"/>
      <c r="K40" s="1"/>
      <c r="N40" s="30"/>
    </row>
    <row r="41" spans="1:14" s="11" customFormat="1" x14ac:dyDescent="0.25">
      <c r="A41" s="30"/>
      <c r="B41" s="11" t="s">
        <v>104</v>
      </c>
      <c r="C41" s="30"/>
      <c r="D41" s="78">
        <f>COUNTIFS(tt,B41,SuchSpalte,AuswahlFilter1)/IF(Prozent=TRUE,'Basis f1'!$C$40,1)</f>
        <v>0</v>
      </c>
      <c r="E41" s="78" t="str">
        <f t="shared" ref="E41:E50" si="2">IF(COUNTIFS(tt,B41,SuchSpalte,AuswahlFilter2)=1,"X","")</f>
        <v/>
      </c>
      <c r="F41" s="30"/>
      <c r="G41" s="31" t="s">
        <v>137</v>
      </c>
      <c r="H41" s="78">
        <f>COUNTIFS(tt,G41,SuchSpalte,AuswahlFilter1)/IF(Prozent=TRUE,'Basis f1'!$C$40,1)</f>
        <v>0</v>
      </c>
      <c r="I41" s="78" t="str">
        <f t="shared" ref="I41:I50" si="3">IF(COUNTIFS(tt,G41,SuchSpalte,AuswahlFilter2)=1,"X","")</f>
        <v/>
      </c>
      <c r="K41" s="1"/>
      <c r="N41" s="30"/>
    </row>
    <row r="42" spans="1:14" s="11" customFormat="1" x14ac:dyDescent="0.25">
      <c r="A42" s="30"/>
      <c r="B42" s="11" t="s">
        <v>128</v>
      </c>
      <c r="C42" s="30"/>
      <c r="D42" s="78">
        <f>COUNTIFS(tt,B42,SuchSpalte,AuswahlFilter1)/IF(Prozent=TRUE,'Basis f1'!$C$40,1)</f>
        <v>0.17391304347826086</v>
      </c>
      <c r="E42" s="79" t="str">
        <f t="shared" si="2"/>
        <v/>
      </c>
      <c r="F42" s="30"/>
      <c r="G42" s="31" t="s">
        <v>138</v>
      </c>
      <c r="H42" s="78">
        <f>COUNTIFS(tt,G42,SuchSpalte,AuswahlFilter1)/IF(Prozent=TRUE,'Basis f1'!$C$40,1)</f>
        <v>4.3478260869565216E-2</v>
      </c>
      <c r="I42" s="79" t="str">
        <f t="shared" si="3"/>
        <v/>
      </c>
      <c r="K42" s="1"/>
      <c r="N42" s="30"/>
    </row>
    <row r="43" spans="1:14" s="11" customFormat="1" x14ac:dyDescent="0.25">
      <c r="A43" s="30"/>
      <c r="B43" s="11" t="s">
        <v>129</v>
      </c>
      <c r="C43" s="30"/>
      <c r="D43" s="78">
        <f>COUNTIFS(tt,B43,SuchSpalte,AuswahlFilter1)/IF(Prozent=TRUE,'Basis f1'!$C$40,1)</f>
        <v>4.3478260869565216E-2</v>
      </c>
      <c r="E43" s="79" t="str">
        <f t="shared" si="2"/>
        <v/>
      </c>
      <c r="F43" s="30"/>
      <c r="G43" s="31" t="s">
        <v>139</v>
      </c>
      <c r="H43" s="78">
        <f>COUNTIFS(tt,G43,SuchSpalte,AuswahlFilter1)/IF(Prozent=TRUE,'Basis f1'!$C$40,1)</f>
        <v>0</v>
      </c>
      <c r="I43" s="79" t="str">
        <f t="shared" si="3"/>
        <v/>
      </c>
      <c r="K43" s="1"/>
      <c r="N43" s="30"/>
    </row>
    <row r="44" spans="1:14" s="11" customFormat="1" x14ac:dyDescent="0.25">
      <c r="A44" s="30"/>
      <c r="B44" s="11" t="s">
        <v>130</v>
      </c>
      <c r="C44" s="30"/>
      <c r="D44" s="78">
        <f>COUNTIFS(tt,B44,SuchSpalte,AuswahlFilter1)/IF(Prozent=TRUE,'Basis f1'!$C$40,1)</f>
        <v>0</v>
      </c>
      <c r="E44" s="78" t="str">
        <f t="shared" si="2"/>
        <v/>
      </c>
      <c r="F44" s="30"/>
      <c r="G44" s="31" t="s">
        <v>140</v>
      </c>
      <c r="H44" s="78">
        <f>COUNTIFS(tt,G44,SuchSpalte,AuswahlFilter1)/IF(Prozent=TRUE,'Basis f1'!$C$40,1)</f>
        <v>4.3478260869565216E-2</v>
      </c>
      <c r="I44" s="78" t="str">
        <f t="shared" si="3"/>
        <v/>
      </c>
      <c r="K44" s="1"/>
      <c r="N44" s="30"/>
    </row>
    <row r="45" spans="1:14" s="11" customFormat="1" x14ac:dyDescent="0.25">
      <c r="A45" s="30"/>
      <c r="B45" s="11" t="s">
        <v>131</v>
      </c>
      <c r="C45" s="30"/>
      <c r="D45" s="78">
        <f>COUNTIFS(tt,B45,SuchSpalte,AuswahlFilter1)/IF(Prozent=TRUE,'Basis f1'!$C$40,1)</f>
        <v>4.3478260869565216E-2</v>
      </c>
      <c r="E45" s="78" t="str">
        <f t="shared" si="2"/>
        <v/>
      </c>
      <c r="F45" s="30"/>
      <c r="G45" s="31" t="s">
        <v>141</v>
      </c>
      <c r="H45" s="78">
        <f>COUNTIFS(tt,G45,SuchSpalte,AuswahlFilter1)/IF(Prozent=TRUE,'Basis f1'!$C$40,1)</f>
        <v>0</v>
      </c>
      <c r="I45" s="78" t="str">
        <f t="shared" si="3"/>
        <v/>
      </c>
      <c r="K45" s="1"/>
      <c r="N45" s="30"/>
    </row>
    <row r="46" spans="1:14" s="11" customFormat="1" x14ac:dyDescent="0.25">
      <c r="A46" s="30"/>
      <c r="B46" s="11" t="s">
        <v>132</v>
      </c>
      <c r="C46" s="30"/>
      <c r="D46" s="78">
        <f>COUNTIFS(tt,B46,SuchSpalte,AuswahlFilter1)/IF(Prozent=TRUE,'Basis f1'!$C$40,1)</f>
        <v>0.30434782608695654</v>
      </c>
      <c r="E46" s="79" t="str">
        <f t="shared" si="2"/>
        <v/>
      </c>
      <c r="F46" s="30"/>
      <c r="G46" s="31" t="s">
        <v>142</v>
      </c>
      <c r="H46" s="78">
        <f>COUNTIFS(tt,G46,SuchSpalte,AuswahlFilter1)/IF(Prozent=TRUE,'Basis f1'!$C$40,1)</f>
        <v>4.3478260869565216E-2</v>
      </c>
      <c r="I46" s="79" t="str">
        <f t="shared" si="3"/>
        <v/>
      </c>
      <c r="K46" s="1"/>
      <c r="N46" s="30"/>
    </row>
    <row r="47" spans="1:14" s="11" customFormat="1" x14ac:dyDescent="0.25">
      <c r="A47" s="30"/>
      <c r="B47" s="11" t="s">
        <v>133</v>
      </c>
      <c r="C47" s="30"/>
      <c r="D47" s="78">
        <f>COUNTIFS(tt,B47,SuchSpalte,AuswahlFilter1)/IF(Prozent=TRUE,'Basis f1'!$C$40,1)</f>
        <v>8.6956521739130432E-2</v>
      </c>
      <c r="E47" s="79" t="str">
        <f t="shared" si="2"/>
        <v/>
      </c>
      <c r="F47" s="30"/>
      <c r="G47" s="31" t="s">
        <v>143</v>
      </c>
      <c r="H47" s="78">
        <f>COUNTIFS(tt,G47,SuchSpalte,AuswahlFilter1)/IF(Prozent=TRUE,'Basis f1'!$C$40,1)</f>
        <v>0</v>
      </c>
      <c r="I47" s="79" t="str">
        <f t="shared" si="3"/>
        <v/>
      </c>
      <c r="K47" s="1"/>
      <c r="N47" s="30"/>
    </row>
    <row r="48" spans="1:14" s="11" customFormat="1" x14ac:dyDescent="0.25">
      <c r="A48" s="30"/>
      <c r="B48" s="11" t="s">
        <v>134</v>
      </c>
      <c r="C48" s="30"/>
      <c r="D48" s="78">
        <f>COUNTIFS(tt,B48,SuchSpalte,AuswahlFilter1)/IF(Prozent=TRUE,'Basis f1'!$C$40,1)</f>
        <v>0</v>
      </c>
      <c r="E48" s="78" t="str">
        <f t="shared" si="2"/>
        <v/>
      </c>
      <c r="F48" s="30"/>
      <c r="G48" s="31" t="s">
        <v>144</v>
      </c>
      <c r="H48" s="78">
        <f>COUNTIFS(tt,G48,SuchSpalte,AuswahlFilter1)/IF(Prozent=TRUE,'Basis f1'!$C$40,1)</f>
        <v>4.3478260869565216E-2</v>
      </c>
      <c r="I48" s="78" t="str">
        <f t="shared" si="3"/>
        <v/>
      </c>
      <c r="K48" s="1"/>
      <c r="N48" s="30"/>
    </row>
    <row r="49" spans="1:14" s="11" customFormat="1" x14ac:dyDescent="0.25">
      <c r="A49" s="30"/>
      <c r="B49" s="11" t="s">
        <v>135</v>
      </c>
      <c r="C49" s="30"/>
      <c r="D49" s="78">
        <f>COUNTIFS(tt,B49,SuchSpalte,AuswahlFilter1)/IF(Prozent=TRUE,'Basis f1'!$C$40,1)</f>
        <v>0</v>
      </c>
      <c r="E49" s="78" t="str">
        <f t="shared" si="2"/>
        <v/>
      </c>
      <c r="F49" s="30"/>
      <c r="G49" s="31" t="s">
        <v>145</v>
      </c>
      <c r="H49" s="78">
        <f>COUNTIFS(tt,G49,SuchSpalte,AuswahlFilter1)/IF(Prozent=TRUE,'Basis f1'!$C$40,1)</f>
        <v>0.13043478260869565</v>
      </c>
      <c r="I49" s="78" t="str">
        <f t="shared" si="3"/>
        <v/>
      </c>
      <c r="K49" s="1"/>
      <c r="N49" s="30"/>
    </row>
    <row r="50" spans="1:14" s="11" customFormat="1" x14ac:dyDescent="0.25">
      <c r="A50" s="30"/>
      <c r="B50" s="11" t="s">
        <v>136</v>
      </c>
      <c r="C50" s="30"/>
      <c r="D50" s="78">
        <f>COUNTIFS(tt,B50,SuchSpalte,AuswahlFilter1)/IF(Prozent=TRUE,'Basis f1'!$C$40,1)</f>
        <v>4.3478260869565216E-2</v>
      </c>
      <c r="E50" s="79" t="str">
        <f t="shared" si="2"/>
        <v/>
      </c>
      <c r="F50" s="30"/>
      <c r="G50" s="31" t="s">
        <v>146</v>
      </c>
      <c r="H50" s="78">
        <f>COUNTIFS(tt,G50,SuchSpalte,AuswahlFilter1)/IF(Prozent=TRUE,'Basis f1'!$C$40,1)</f>
        <v>0</v>
      </c>
      <c r="I50" s="79" t="str">
        <f t="shared" si="3"/>
        <v/>
      </c>
      <c r="K50" s="1"/>
      <c r="N50" s="30"/>
    </row>
    <row r="51" spans="1:14" s="11" customFormat="1" x14ac:dyDescent="0.25">
      <c r="A51" s="30"/>
      <c r="C51" s="30"/>
      <c r="D51" s="80"/>
      <c r="E51" s="80"/>
      <c r="F51" s="30"/>
      <c r="G51" s="31"/>
      <c r="H51" s="80"/>
      <c r="I51" s="80"/>
      <c r="K51" s="1"/>
      <c r="N51" s="30"/>
    </row>
    <row r="52" spans="1:14" s="11" customFormat="1" x14ac:dyDescent="0.25">
      <c r="A52" s="30"/>
      <c r="B52" s="3" t="s">
        <v>21</v>
      </c>
      <c r="C52" s="3"/>
      <c r="D52" s="110" t="str">
        <f>'Basis f1'!C52&amp;" Antworten"</f>
        <v>11 Antworten</v>
      </c>
      <c r="E52" s="80"/>
      <c r="F52" s="30"/>
      <c r="G52" s="31"/>
      <c r="H52" s="80"/>
      <c r="I52" s="80"/>
      <c r="K52" s="1"/>
      <c r="N52" s="30"/>
    </row>
    <row r="53" spans="1:14" s="11" customFormat="1" x14ac:dyDescent="0.25">
      <c r="A53" s="30"/>
      <c r="B53" s="11" t="s">
        <v>104</v>
      </c>
      <c r="C53" s="30"/>
      <c r="D53" s="78">
        <f>COUNTIFS(tu,B53,SuchSpalte,AuswahlFilter1)/IF(Prozent=TRUE,'Basis f1'!$C$52,1)</f>
        <v>0</v>
      </c>
      <c r="E53" s="78" t="str">
        <f t="shared" ref="E53:E62" si="4">IF(COUNTIFS(tu,B53,SuchSpalte,AuswahlFilter2)=1,"X","")</f>
        <v/>
      </c>
      <c r="F53" s="30"/>
      <c r="G53" s="31" t="s">
        <v>137</v>
      </c>
      <c r="H53" s="78">
        <f>COUNTIFS(tu,G53,SuchSpalte,AuswahlFilter1)/IF(Prozent=TRUE,'Basis f1'!$C$52,1)</f>
        <v>9.0909090909090912E-2</v>
      </c>
      <c r="I53" s="78" t="str">
        <f t="shared" ref="I53:I62" si="5">IF(COUNTIFS(tu,G53,SuchSpalte,AuswahlFilter2)=1,"X","")</f>
        <v/>
      </c>
      <c r="K53" s="1"/>
      <c r="N53" s="30"/>
    </row>
    <row r="54" spans="1:14" s="11" customFormat="1" x14ac:dyDescent="0.25">
      <c r="A54" s="30"/>
      <c r="B54" s="11" t="s">
        <v>128</v>
      </c>
      <c r="C54" s="30"/>
      <c r="D54" s="78">
        <f>COUNTIFS(tu,B54,SuchSpalte,AuswahlFilter1)/IF(Prozent=TRUE,'Basis f1'!$C$52,1)</f>
        <v>0</v>
      </c>
      <c r="E54" s="79" t="str">
        <f t="shared" si="4"/>
        <v/>
      </c>
      <c r="F54" s="30"/>
      <c r="G54" s="31" t="s">
        <v>138</v>
      </c>
      <c r="H54" s="78">
        <f>COUNTIFS(tu,G54,SuchSpalte,AuswahlFilter1)/IF(Prozent=TRUE,'Basis f1'!$C$52,1)</f>
        <v>9.0909090909090912E-2</v>
      </c>
      <c r="I54" s="79" t="str">
        <f t="shared" si="5"/>
        <v/>
      </c>
      <c r="K54" s="1"/>
      <c r="N54" s="30"/>
    </row>
    <row r="55" spans="1:14" s="11" customFormat="1" x14ac:dyDescent="0.25">
      <c r="A55" s="30"/>
      <c r="B55" s="11" t="s">
        <v>129</v>
      </c>
      <c r="C55" s="30"/>
      <c r="D55" s="78">
        <f>COUNTIFS(tu,B55,SuchSpalte,AuswahlFilter1)/IF(Prozent=TRUE,'Basis f1'!$C$52,1)</f>
        <v>0</v>
      </c>
      <c r="E55" s="79" t="str">
        <f t="shared" si="4"/>
        <v/>
      </c>
      <c r="F55" s="30"/>
      <c r="G55" s="31" t="s">
        <v>139</v>
      </c>
      <c r="H55" s="78">
        <f>COUNTIFS(tu,G55,SuchSpalte,AuswahlFilter1)/IF(Prozent=TRUE,'Basis f1'!$C$52,1)</f>
        <v>0</v>
      </c>
      <c r="I55" s="79" t="str">
        <f t="shared" si="5"/>
        <v/>
      </c>
      <c r="K55" s="1"/>
      <c r="N55" s="30"/>
    </row>
    <row r="56" spans="1:14" s="11" customFormat="1" x14ac:dyDescent="0.25">
      <c r="A56" s="30"/>
      <c r="B56" s="11" t="s">
        <v>130</v>
      </c>
      <c r="C56" s="30"/>
      <c r="D56" s="78">
        <f>COUNTIFS(tu,B56,SuchSpalte,AuswahlFilter1)/IF(Prozent=TRUE,'Basis f1'!$C$52,1)</f>
        <v>0</v>
      </c>
      <c r="E56" s="78" t="str">
        <f t="shared" si="4"/>
        <v/>
      </c>
      <c r="F56" s="30"/>
      <c r="G56" s="31" t="s">
        <v>140</v>
      </c>
      <c r="H56" s="78">
        <f>COUNTIFS(tu,G56,SuchSpalte,AuswahlFilter1)/IF(Prozent=TRUE,'Basis f1'!$C$52,1)</f>
        <v>0</v>
      </c>
      <c r="I56" s="78" t="str">
        <f t="shared" si="5"/>
        <v/>
      </c>
      <c r="K56" s="1"/>
      <c r="N56" s="30"/>
    </row>
    <row r="57" spans="1:14" s="11" customFormat="1" x14ac:dyDescent="0.25">
      <c r="A57" s="30"/>
      <c r="B57" s="11" t="s">
        <v>131</v>
      </c>
      <c r="C57" s="30"/>
      <c r="D57" s="78">
        <f>COUNTIFS(tu,B57,SuchSpalte,AuswahlFilter1)/IF(Prozent=TRUE,'Basis f1'!$C$52,1)</f>
        <v>0</v>
      </c>
      <c r="E57" s="78" t="str">
        <f t="shared" si="4"/>
        <v/>
      </c>
      <c r="F57" s="30"/>
      <c r="G57" s="31" t="s">
        <v>141</v>
      </c>
      <c r="H57" s="78">
        <f>COUNTIFS(tu,G57,SuchSpalte,AuswahlFilter1)/IF(Prozent=TRUE,'Basis f1'!$C$52,1)</f>
        <v>0.18181818181818182</v>
      </c>
      <c r="I57" s="78" t="str">
        <f t="shared" si="5"/>
        <v/>
      </c>
      <c r="K57" s="1"/>
      <c r="N57" s="30"/>
    </row>
    <row r="58" spans="1:14" s="11" customFormat="1" x14ac:dyDescent="0.25">
      <c r="A58" s="30"/>
      <c r="B58" s="11" t="s">
        <v>132</v>
      </c>
      <c r="C58" s="30"/>
      <c r="D58" s="78">
        <f>COUNTIFS(tu,B58,SuchSpalte,AuswahlFilter1)/IF(Prozent=TRUE,'Basis f1'!$C$52,1)</f>
        <v>0</v>
      </c>
      <c r="E58" s="79" t="str">
        <f t="shared" si="4"/>
        <v/>
      </c>
      <c r="F58" s="30"/>
      <c r="G58" s="31" t="s">
        <v>142</v>
      </c>
      <c r="H58" s="78">
        <f>COUNTIFS(tu,G58,SuchSpalte,AuswahlFilter1)/IF(Prozent=TRUE,'Basis f1'!$C$52,1)</f>
        <v>0.36363636363636365</v>
      </c>
      <c r="I58" s="79" t="str">
        <f t="shared" si="5"/>
        <v/>
      </c>
      <c r="K58" s="1"/>
      <c r="N58" s="30"/>
    </row>
    <row r="59" spans="1:14" s="11" customFormat="1" x14ac:dyDescent="0.25">
      <c r="A59" s="30"/>
      <c r="B59" s="11" t="s">
        <v>133</v>
      </c>
      <c r="C59" s="30"/>
      <c r="D59" s="78">
        <f>COUNTIFS(tu,B59,SuchSpalte,AuswahlFilter1)/IF(Prozent=TRUE,'Basis f1'!$C$52,1)</f>
        <v>9.0909090909090912E-2</v>
      </c>
      <c r="E59" s="79" t="str">
        <f t="shared" si="4"/>
        <v/>
      </c>
      <c r="F59" s="30"/>
      <c r="G59" s="31" t="s">
        <v>143</v>
      </c>
      <c r="H59" s="78">
        <f>COUNTIFS(tu,G59,SuchSpalte,AuswahlFilter1)/IF(Prozent=TRUE,'Basis f1'!$C$52,1)</f>
        <v>0</v>
      </c>
      <c r="I59" s="79" t="str">
        <f t="shared" si="5"/>
        <v/>
      </c>
      <c r="K59" s="1"/>
      <c r="N59" s="30"/>
    </row>
    <row r="60" spans="1:14" s="11" customFormat="1" x14ac:dyDescent="0.25">
      <c r="A60" s="30"/>
      <c r="B60" s="11" t="s">
        <v>134</v>
      </c>
      <c r="C60" s="30"/>
      <c r="D60" s="78">
        <f>COUNTIFS(tu,B60,SuchSpalte,AuswahlFilter1)/IF(Prozent=TRUE,'Basis f1'!$C$52,1)</f>
        <v>0</v>
      </c>
      <c r="E60" s="78" t="str">
        <f t="shared" si="4"/>
        <v/>
      </c>
      <c r="F60" s="30"/>
      <c r="G60" s="31" t="s">
        <v>144</v>
      </c>
      <c r="H60" s="78">
        <f>COUNTIFS(tu,G60,SuchSpalte,AuswahlFilter1)/IF(Prozent=TRUE,'Basis f1'!$C$52,1)</f>
        <v>0</v>
      </c>
      <c r="I60" s="78" t="str">
        <f t="shared" si="5"/>
        <v/>
      </c>
      <c r="K60" s="1"/>
      <c r="N60" s="30"/>
    </row>
    <row r="61" spans="1:14" s="11" customFormat="1" x14ac:dyDescent="0.25">
      <c r="A61" s="30"/>
      <c r="B61" s="11" t="s">
        <v>135</v>
      </c>
      <c r="C61" s="30"/>
      <c r="D61" s="78">
        <f>COUNTIFS(tu,B61,SuchSpalte,AuswahlFilter1)/IF(Prozent=TRUE,'Basis f1'!$C$52,1)</f>
        <v>0</v>
      </c>
      <c r="E61" s="78" t="str">
        <f t="shared" si="4"/>
        <v/>
      </c>
      <c r="F61" s="30"/>
      <c r="G61" s="31" t="s">
        <v>145</v>
      </c>
      <c r="H61" s="78">
        <f>COUNTIFS(tu,G61,SuchSpalte,AuswahlFilter1)/IF(Prozent=TRUE,'Basis f1'!$C$52,1)</f>
        <v>0.18181818181818182</v>
      </c>
      <c r="I61" s="78" t="str">
        <f t="shared" si="5"/>
        <v/>
      </c>
      <c r="K61" s="1"/>
      <c r="N61" s="30"/>
    </row>
    <row r="62" spans="1:14" x14ac:dyDescent="0.25">
      <c r="B62" s="11" t="s">
        <v>136</v>
      </c>
      <c r="D62" s="78">
        <f>COUNTIFS(tu,B62,SuchSpalte,AuswahlFilter1)/IF(Prozent=TRUE,'Basis f1'!$C$52,1)</f>
        <v>0</v>
      </c>
      <c r="E62" s="79" t="str">
        <f t="shared" si="4"/>
        <v/>
      </c>
      <c r="G62" s="31" t="s">
        <v>146</v>
      </c>
      <c r="H62" s="78">
        <f>COUNTIFS(tu,G62,SuchSpalte,AuswahlFilter1)/IF(Prozent=TRUE,'Basis f1'!$C$52,1)</f>
        <v>0</v>
      </c>
      <c r="I62" s="79" t="str">
        <f t="shared" si="5"/>
        <v/>
      </c>
      <c r="J62" s="11"/>
      <c r="L62" s="11"/>
      <c r="M62" s="11"/>
    </row>
    <row r="63" spans="1:14" s="11" customFormat="1" x14ac:dyDescent="0.25">
      <c r="A63" s="30"/>
      <c r="C63" s="30"/>
      <c r="D63" s="80"/>
      <c r="E63" s="80"/>
      <c r="F63" s="30"/>
      <c r="G63" s="31"/>
      <c r="H63" s="82"/>
      <c r="I63" s="82"/>
      <c r="K63" s="1"/>
      <c r="N63" s="30"/>
    </row>
    <row r="64" spans="1:14" s="11" customFormat="1" x14ac:dyDescent="0.25">
      <c r="A64" s="30"/>
      <c r="B64" s="3" t="s">
        <v>22</v>
      </c>
      <c r="C64" s="3"/>
      <c r="D64" s="110" t="str">
        <f>'Basis f1'!C64&amp;" Antworten"</f>
        <v>1 Antworten</v>
      </c>
      <c r="E64" s="80"/>
      <c r="F64" s="30"/>
      <c r="G64" s="31"/>
      <c r="H64" s="82"/>
      <c r="I64" s="82"/>
      <c r="K64" s="1"/>
      <c r="N64" s="30"/>
    </row>
    <row r="65" spans="1:14" s="11" customFormat="1" x14ac:dyDescent="0.25">
      <c r="A65" s="30"/>
      <c r="B65" s="11" t="s">
        <v>104</v>
      </c>
      <c r="C65" s="30"/>
      <c r="D65" s="78">
        <f>COUNTIFS(tv,B65,SuchSpalte,AuswahlFilter1)/IF(Prozent=TRUE,'Basis f1'!$C$64,1)</f>
        <v>0</v>
      </c>
      <c r="E65" s="78" t="str">
        <f t="shared" ref="E65:E74" si="6">IF(COUNTIFS(tv,B65,SuchSpalte,AuswahlFilter2)=1,"X","")</f>
        <v/>
      </c>
      <c r="F65" s="30"/>
      <c r="G65" s="31" t="s">
        <v>137</v>
      </c>
      <c r="H65" s="78">
        <f>COUNTIFS(tv,G65,SuchSpalte,AuswahlFilter1)/IF(Prozent=TRUE,'Basis f1'!$C$64,1)</f>
        <v>0</v>
      </c>
      <c r="I65" s="78" t="str">
        <f t="shared" ref="I65:I74" si="7">IF(COUNTIFS(tv,G65,SuchSpalte,AuswahlFilter2)=1,"X","")</f>
        <v/>
      </c>
      <c r="K65" s="1"/>
      <c r="N65" s="30"/>
    </row>
    <row r="66" spans="1:14" s="11" customFormat="1" x14ac:dyDescent="0.25">
      <c r="A66" s="30"/>
      <c r="B66" s="11" t="s">
        <v>128</v>
      </c>
      <c r="C66" s="30"/>
      <c r="D66" s="78">
        <f>COUNTIFS(tv,B66,SuchSpalte,AuswahlFilter1)/IF(Prozent=TRUE,'Basis f1'!$C$64,1)</f>
        <v>0</v>
      </c>
      <c r="E66" s="78" t="str">
        <f t="shared" si="6"/>
        <v/>
      </c>
      <c r="F66" s="30"/>
      <c r="G66" s="31" t="s">
        <v>138</v>
      </c>
      <c r="H66" s="78">
        <f>COUNTIFS(tv,G66,SuchSpalte,AuswahlFilter1)/IF(Prozent=TRUE,'Basis f1'!$C$64,1)</f>
        <v>0</v>
      </c>
      <c r="I66" s="78" t="str">
        <f t="shared" si="7"/>
        <v/>
      </c>
      <c r="K66" s="1"/>
      <c r="N66" s="30"/>
    </row>
    <row r="67" spans="1:14" s="11" customFormat="1" x14ac:dyDescent="0.25">
      <c r="A67" s="30"/>
      <c r="B67" s="11" t="s">
        <v>129</v>
      </c>
      <c r="C67" s="30"/>
      <c r="D67" s="78">
        <f>COUNTIFS(tv,B67,SuchSpalte,AuswahlFilter1)/IF(Prozent=TRUE,'Basis f1'!$C$64,1)</f>
        <v>0</v>
      </c>
      <c r="E67" s="78" t="str">
        <f t="shared" si="6"/>
        <v/>
      </c>
      <c r="F67" s="30"/>
      <c r="G67" s="31" t="s">
        <v>139</v>
      </c>
      <c r="H67" s="78">
        <f>COUNTIFS(tv,G67,SuchSpalte,AuswahlFilter1)/IF(Prozent=TRUE,'Basis f1'!$C$64,1)</f>
        <v>0</v>
      </c>
      <c r="I67" s="78" t="str">
        <f t="shared" si="7"/>
        <v/>
      </c>
      <c r="K67" s="1"/>
      <c r="N67" s="30"/>
    </row>
    <row r="68" spans="1:14" s="11" customFormat="1" x14ac:dyDescent="0.25">
      <c r="A68" s="30"/>
      <c r="B68" s="11" t="s">
        <v>130</v>
      </c>
      <c r="C68" s="30"/>
      <c r="D68" s="78">
        <f>COUNTIFS(tv,B68,SuchSpalte,AuswahlFilter1)/IF(Prozent=TRUE,'Basis f1'!$C$64,1)</f>
        <v>0</v>
      </c>
      <c r="E68" s="78" t="str">
        <f t="shared" si="6"/>
        <v/>
      </c>
      <c r="F68" s="30"/>
      <c r="G68" s="31" t="s">
        <v>140</v>
      </c>
      <c r="H68" s="78">
        <f>COUNTIFS(tv,G68,SuchSpalte,AuswahlFilter1)/IF(Prozent=TRUE,'Basis f1'!$C$64,1)</f>
        <v>0</v>
      </c>
      <c r="I68" s="78" t="str">
        <f t="shared" si="7"/>
        <v/>
      </c>
      <c r="K68" s="1"/>
      <c r="N68" s="30"/>
    </row>
    <row r="69" spans="1:14" s="11" customFormat="1" x14ac:dyDescent="0.25">
      <c r="A69" s="30"/>
      <c r="B69" s="11" t="s">
        <v>131</v>
      </c>
      <c r="C69" s="30"/>
      <c r="D69" s="78">
        <f>COUNTIFS(tv,B69,SuchSpalte,AuswahlFilter1)/IF(Prozent=TRUE,'Basis f1'!$C$64,1)</f>
        <v>0</v>
      </c>
      <c r="E69" s="78" t="str">
        <f t="shared" si="6"/>
        <v/>
      </c>
      <c r="F69" s="30"/>
      <c r="G69" s="31" t="s">
        <v>141</v>
      </c>
      <c r="H69" s="78">
        <f>COUNTIFS(tv,G69,SuchSpalte,AuswahlFilter1)/IF(Prozent=TRUE,'Basis f1'!$C$64,1)</f>
        <v>0</v>
      </c>
      <c r="I69" s="78" t="str">
        <f t="shared" si="7"/>
        <v/>
      </c>
      <c r="K69" s="1"/>
      <c r="N69" s="30"/>
    </row>
    <row r="70" spans="1:14" s="11" customFormat="1" x14ac:dyDescent="0.25">
      <c r="A70" s="30"/>
      <c r="B70" s="11" t="s">
        <v>132</v>
      </c>
      <c r="C70" s="30"/>
      <c r="D70" s="78">
        <f>COUNTIFS(tv,B70,SuchSpalte,AuswahlFilter1)/IF(Prozent=TRUE,'Basis f1'!$C$64,1)</f>
        <v>0</v>
      </c>
      <c r="E70" s="78" t="str">
        <f t="shared" si="6"/>
        <v/>
      </c>
      <c r="F70" s="30"/>
      <c r="G70" s="31" t="s">
        <v>142</v>
      </c>
      <c r="H70" s="78">
        <f>COUNTIFS(tv,G70,SuchSpalte,AuswahlFilter1)/IF(Prozent=TRUE,'Basis f1'!$C$64,1)</f>
        <v>0</v>
      </c>
      <c r="I70" s="78" t="str">
        <f t="shared" si="7"/>
        <v/>
      </c>
      <c r="K70" s="1"/>
      <c r="N70" s="30"/>
    </row>
    <row r="71" spans="1:14" s="11" customFormat="1" x14ac:dyDescent="0.25">
      <c r="A71" s="30"/>
      <c r="B71" s="11" t="s">
        <v>133</v>
      </c>
      <c r="C71" s="30"/>
      <c r="D71" s="78">
        <f>COUNTIFS(tv,B71,SuchSpalte,AuswahlFilter1)/IF(Prozent=TRUE,'Basis f1'!$C$64,1)</f>
        <v>0</v>
      </c>
      <c r="E71" s="78" t="str">
        <f t="shared" si="6"/>
        <v/>
      </c>
      <c r="F71" s="30"/>
      <c r="G71" s="31" t="s">
        <v>143</v>
      </c>
      <c r="H71" s="78">
        <f>COUNTIFS(tv,G71,SuchSpalte,AuswahlFilter1)/IF(Prozent=TRUE,'Basis f1'!$C$64,1)</f>
        <v>0</v>
      </c>
      <c r="I71" s="78" t="str">
        <f t="shared" si="7"/>
        <v/>
      </c>
      <c r="K71" s="1"/>
      <c r="N71" s="30"/>
    </row>
    <row r="72" spans="1:14" s="11" customFormat="1" x14ac:dyDescent="0.25">
      <c r="A72" s="30"/>
      <c r="B72" s="11" t="s">
        <v>134</v>
      </c>
      <c r="C72" s="30"/>
      <c r="D72" s="78">
        <f>COUNTIFS(tv,B72,SuchSpalte,AuswahlFilter1)/IF(Prozent=TRUE,'Basis f1'!$C$64,1)</f>
        <v>0</v>
      </c>
      <c r="E72" s="78" t="str">
        <f t="shared" si="6"/>
        <v/>
      </c>
      <c r="F72" s="30"/>
      <c r="G72" s="31" t="s">
        <v>144</v>
      </c>
      <c r="H72" s="78">
        <f>COUNTIFS(tv,G72,SuchSpalte,AuswahlFilter1)/IF(Prozent=TRUE,'Basis f1'!$C$64,1)</f>
        <v>1</v>
      </c>
      <c r="I72" s="78" t="str">
        <f t="shared" si="7"/>
        <v/>
      </c>
      <c r="K72" s="1"/>
      <c r="N72" s="30"/>
    </row>
    <row r="73" spans="1:14" s="11" customFormat="1" x14ac:dyDescent="0.25">
      <c r="A73" s="30"/>
      <c r="B73" s="11" t="s">
        <v>135</v>
      </c>
      <c r="C73" s="30"/>
      <c r="D73" s="78">
        <f>COUNTIFS(tv,B73,SuchSpalte,AuswahlFilter1)/IF(Prozent=TRUE,'Basis f1'!$C$64,1)</f>
        <v>0</v>
      </c>
      <c r="E73" s="78" t="str">
        <f t="shared" si="6"/>
        <v/>
      </c>
      <c r="F73" s="30"/>
      <c r="G73" s="31" t="s">
        <v>145</v>
      </c>
      <c r="H73" s="78">
        <f>COUNTIFS(tv,G73,SuchSpalte,AuswahlFilter1)/IF(Prozent=TRUE,'Basis f1'!$C$64,1)</f>
        <v>0</v>
      </c>
      <c r="I73" s="78" t="str">
        <f t="shared" si="7"/>
        <v/>
      </c>
      <c r="K73" s="1"/>
      <c r="N73" s="30"/>
    </row>
    <row r="74" spans="1:14" s="11" customFormat="1" x14ac:dyDescent="0.25">
      <c r="A74" s="30"/>
      <c r="B74" s="11" t="s">
        <v>136</v>
      </c>
      <c r="C74" s="30"/>
      <c r="D74" s="78">
        <f>COUNTIFS(tv,B74,SuchSpalte,AuswahlFilter1)/IF(Prozent=TRUE,'Basis f1'!$C$64,1)</f>
        <v>0</v>
      </c>
      <c r="E74" s="78" t="str">
        <f t="shared" si="6"/>
        <v/>
      </c>
      <c r="F74" s="30"/>
      <c r="G74" s="31" t="s">
        <v>146</v>
      </c>
      <c r="H74" s="78">
        <f>COUNTIFS(tv,G74,SuchSpalte,AuswahlFilter1)/IF(Prozent=TRUE,'Basis f1'!$C$64,1)</f>
        <v>0</v>
      </c>
      <c r="I74" s="78" t="str">
        <f t="shared" si="7"/>
        <v/>
      </c>
      <c r="K74" s="1"/>
      <c r="N74" s="30"/>
    </row>
    <row r="75" spans="1:14" s="11" customFormat="1" x14ac:dyDescent="0.25">
      <c r="A75" s="30"/>
      <c r="C75" s="30"/>
      <c r="D75" s="80"/>
      <c r="E75" s="80"/>
      <c r="F75" s="30"/>
      <c r="H75" s="80"/>
      <c r="I75" s="80"/>
      <c r="K75" s="1"/>
      <c r="N75" s="30"/>
    </row>
    <row r="76" spans="1:14" x14ac:dyDescent="0.25">
      <c r="B76" s="11"/>
      <c r="D76" s="80"/>
      <c r="E76" s="80"/>
      <c r="G76" s="11"/>
      <c r="H76" s="80"/>
      <c r="I76" s="80"/>
      <c r="J76" s="11"/>
      <c r="L76" s="11"/>
      <c r="M76" s="11"/>
    </row>
    <row r="77" spans="1:14" x14ac:dyDescent="0.25">
      <c r="B77" s="3" t="s">
        <v>147</v>
      </c>
      <c r="C77" s="3"/>
      <c r="D77" s="110" t="str">
        <f>'Basis f1'!C77&amp;" Antworten"</f>
        <v>86 Antworten</v>
      </c>
      <c r="E77" s="80"/>
      <c r="G77" s="11"/>
      <c r="H77" s="80"/>
      <c r="I77" s="80"/>
      <c r="J77" s="11"/>
      <c r="L77" s="11"/>
      <c r="M77" s="11"/>
    </row>
    <row r="78" spans="1:14" x14ac:dyDescent="0.25">
      <c r="B78" s="11" t="s">
        <v>148</v>
      </c>
      <c r="D78" s="78">
        <f>COUNTIFS(tx,B78,SuchSpalte,AuswahlFilter1)/IF(Prozent=TRUE,'Basis f1'!$C$77,1)</f>
        <v>0.62790697674418605</v>
      </c>
      <c r="E78" s="78" t="str">
        <f>IF(COUNTIFS(tx,B78,SuchSpalte,AuswahlFilter2)=1,"X","")</f>
        <v/>
      </c>
      <c r="G78" s="30" t="s">
        <v>152</v>
      </c>
      <c r="H78" s="78">
        <f>COUNTIFS(tx,G78,SuchSpalte,AuswahlFilter1)/IF(Prozent=TRUE,'Basis f1'!$C$77,1)</f>
        <v>0</v>
      </c>
      <c r="I78" s="78" t="str">
        <f>IF(COUNTIFS(tx,G78,SuchSpalte,AuswahlFilter2)=1,"X","")</f>
        <v/>
      </c>
      <c r="J78" s="30"/>
      <c r="L78" s="11"/>
      <c r="M78" s="11"/>
    </row>
    <row r="79" spans="1:14" x14ac:dyDescent="0.25">
      <c r="B79" s="11" t="s">
        <v>149</v>
      </c>
      <c r="D79" s="78">
        <f>COUNTIFS(tx,B79,SuchSpalte,AuswahlFilter1)/IF(Prozent=TRUE,'Basis f1'!$C$77,1)</f>
        <v>0.12790697674418605</v>
      </c>
      <c r="E79" s="79" t="str">
        <f>IF(COUNTIFS(tx,B79,SuchSpalte,AuswahlFilter2)=1,"X","")</f>
        <v/>
      </c>
      <c r="G79" s="30" t="s">
        <v>1628</v>
      </c>
      <c r="H79" s="78">
        <f>COUNTIFS(tx,G79,SuchSpalte,AuswahlFilter1)/IF(Prozent=TRUE,'Basis f1'!$C$77,1)</f>
        <v>0</v>
      </c>
      <c r="I79" s="79" t="str">
        <f>IF(COUNTIFS(tx,G79,SuchSpalte,AuswahlFilter2)=1,"X","")</f>
        <v/>
      </c>
      <c r="J79" s="30"/>
      <c r="L79" s="11"/>
      <c r="M79" s="11"/>
    </row>
    <row r="80" spans="1:14" x14ac:dyDescent="0.25">
      <c r="B80" s="11" t="s">
        <v>150</v>
      </c>
      <c r="D80" s="78">
        <f>COUNTIFS(tx,B80,SuchSpalte,AuswahlFilter1)/IF(Prozent=TRUE,'Basis f1'!$C$77,1)</f>
        <v>0.11627906976744186</v>
      </c>
      <c r="E80" s="79" t="str">
        <f>IF(COUNTIFS(tx,B80,SuchSpalte,AuswahlFilter2)=1,"X","")</f>
        <v/>
      </c>
      <c r="G80" s="30" t="s">
        <v>154</v>
      </c>
      <c r="H80" s="78">
        <f>COUNTIFS(tx,G80,SuchSpalte,AuswahlFilter1)/IF(Prozent=TRUE,'Basis f1'!$C$77,1)</f>
        <v>5.8139534883720929E-2</v>
      </c>
      <c r="I80" s="79" t="str">
        <f>IF(COUNTIFS(tx,G80,SuchSpalte,AuswahlFilter2)=1,"X","")</f>
        <v/>
      </c>
      <c r="J80" s="30"/>
      <c r="L80" s="11"/>
      <c r="M80" s="11"/>
    </row>
    <row r="81" spans="2:14" x14ac:dyDescent="0.25">
      <c r="B81" s="11" t="s">
        <v>151</v>
      </c>
      <c r="D81" s="78">
        <f>COUNTIFS(tx,B81,SuchSpalte,AuswahlFilter1)/IF(Prozent=TRUE,'Basis f1'!$C$77,1)</f>
        <v>6.9767441860465115E-2</v>
      </c>
      <c r="E81" s="78" t="str">
        <f>IF(COUNTIFS(tx,B81,SuchSpalte,AuswahlFilter2)=1,"X","")</f>
        <v/>
      </c>
      <c r="G81" s="30"/>
      <c r="H81" s="82"/>
      <c r="I81" s="82"/>
      <c r="J81" s="11"/>
      <c r="L81" s="11"/>
      <c r="M81" s="11"/>
      <c r="N81" s="2"/>
    </row>
    <row r="82" spans="2:14" x14ac:dyDescent="0.25">
      <c r="B82" s="11"/>
      <c r="E82" s="11"/>
      <c r="G82" s="11"/>
      <c r="H82" s="5"/>
      <c r="I82" s="5"/>
      <c r="J82" s="11"/>
      <c r="L82" s="11"/>
      <c r="M82" s="11"/>
      <c r="N82" s="2"/>
    </row>
    <row r="83" spans="2:14" x14ac:dyDescent="0.25">
      <c r="B83" s="11"/>
      <c r="E83" s="11"/>
      <c r="G83" s="11"/>
      <c r="H83" s="5"/>
      <c r="I83" s="5"/>
      <c r="J83" s="11"/>
      <c r="L83" s="11"/>
      <c r="M83" s="11"/>
      <c r="N83" s="2"/>
    </row>
    <row r="84" spans="2:14" x14ac:dyDescent="0.25">
      <c r="B84" s="3" t="s">
        <v>155</v>
      </c>
      <c r="D84" s="3"/>
      <c r="E84" s="11"/>
      <c r="G84" s="11"/>
      <c r="H84" s="110" t="str">
        <f>'Basis f1'!G84&amp;" Antworten"</f>
        <v>87 Antworten</v>
      </c>
      <c r="I84" s="5"/>
      <c r="J84" s="11"/>
      <c r="L84" s="11"/>
      <c r="M84" s="11"/>
      <c r="N84" s="2"/>
    </row>
    <row r="85" spans="2:14" x14ac:dyDescent="0.25">
      <c r="B85" s="13" t="s">
        <v>156</v>
      </c>
      <c r="C85" s="13"/>
      <c r="D85" s="13"/>
      <c r="E85" s="13"/>
      <c r="F85" s="13"/>
      <c r="G85" s="13"/>
      <c r="H85" s="78">
        <f>COUNTIFS(ty,B85,SuchSpalte,AuswahlFilter1)/IF(Prozent=TRUE,'Basis f1'!$G$84,1)</f>
        <v>0.34482758620689657</v>
      </c>
      <c r="I85" s="78" t="str">
        <f>IF(COUNTIFS(ty,B85,SuchSpalte,AuswahlFilter2)=1,"X","")</f>
        <v/>
      </c>
      <c r="J85" s="11"/>
      <c r="L85" s="11"/>
      <c r="M85" s="11"/>
      <c r="N85" s="2"/>
    </row>
    <row r="86" spans="2:14" ht="34.5" customHeight="1" x14ac:dyDescent="0.25">
      <c r="B86" s="158" t="s">
        <v>157</v>
      </c>
      <c r="C86" s="158"/>
      <c r="D86" s="158"/>
      <c r="E86" s="158"/>
      <c r="F86" s="158"/>
      <c r="G86" s="158"/>
      <c r="H86" s="78">
        <f>COUNTIFS(ty,B86,SuchSpalte,AuswahlFilter1)/IF(Prozent=TRUE,'Basis f1'!$G$84,1)</f>
        <v>0.35632183908045978</v>
      </c>
      <c r="I86" s="79" t="str">
        <f>IF(COUNTIFS(ty,B86,SuchSpalte,AuswahlFilter2)=1,"X","")</f>
        <v/>
      </c>
      <c r="J86" s="11"/>
      <c r="L86" s="11"/>
      <c r="M86" s="11"/>
      <c r="N86" s="2"/>
    </row>
    <row r="87" spans="2:14" ht="27" customHeight="1" x14ac:dyDescent="0.25">
      <c r="B87" s="158" t="s">
        <v>1644</v>
      </c>
      <c r="C87" s="158"/>
      <c r="D87" s="158"/>
      <c r="E87" s="158"/>
      <c r="F87" s="158"/>
      <c r="G87" s="158"/>
      <c r="H87" s="78">
        <f>COUNTIFS(ty,"selbständiger Standort eines Unternehmens",SuchSpalte,AuswahlFilter1)/IF(Prozent=TRUE,'Basis f1'!$G$84,1)</f>
        <v>0.17241379310344829</v>
      </c>
      <c r="I87" s="79" t="str">
        <f>IF(COUNTIFS(ty,B87,SuchSpalte,AuswahlFilter2)=1,"X","")</f>
        <v/>
      </c>
      <c r="J87" s="11"/>
      <c r="L87" s="11"/>
      <c r="M87" s="11"/>
      <c r="N87" s="2"/>
    </row>
    <row r="88" spans="2:14" x14ac:dyDescent="0.25">
      <c r="B88" s="13" t="s">
        <v>159</v>
      </c>
      <c r="C88" s="13"/>
      <c r="D88" s="13"/>
      <c r="E88" s="13"/>
      <c r="F88" s="13"/>
      <c r="G88" s="13"/>
      <c r="H88" s="78">
        <f>COUNTIFS(ty,B88,SuchSpalte,AuswahlFilter1)/IF(Prozent=TRUE,'Basis f1'!$G$84,1)</f>
        <v>0.12643678160919541</v>
      </c>
      <c r="I88" s="78" t="str">
        <f>IF(COUNTIFS(ty,B88,SuchSpalte,AuswahlFilter2)=1,"X","")</f>
        <v/>
      </c>
      <c r="J88" s="11"/>
      <c r="L88" s="11"/>
      <c r="M88" s="11"/>
      <c r="N88" s="2"/>
    </row>
    <row r="89" spans="2:14" x14ac:dyDescent="0.25">
      <c r="B89" s="11"/>
      <c r="E89" s="11"/>
      <c r="G89" s="11"/>
      <c r="H89" s="80"/>
      <c r="I89" s="80"/>
      <c r="J89" s="11"/>
      <c r="L89" s="11"/>
      <c r="M89" s="11"/>
      <c r="N89" s="2"/>
    </row>
    <row r="90" spans="2:14" x14ac:dyDescent="0.25">
      <c r="B90" s="11"/>
      <c r="E90" s="11"/>
      <c r="G90" s="11"/>
      <c r="H90" s="82"/>
      <c r="I90" s="82"/>
      <c r="J90" s="11"/>
      <c r="L90" s="11"/>
      <c r="M90" s="11"/>
      <c r="N90" s="2"/>
    </row>
    <row r="91" spans="2:14" x14ac:dyDescent="0.25">
      <c r="B91" s="3" t="s">
        <v>160</v>
      </c>
      <c r="D91" s="13"/>
      <c r="E91" s="11"/>
      <c r="G91" s="11"/>
      <c r="H91" s="110" t="str">
        <f>'Basis f1'!G91&amp;" Antworten"</f>
        <v>87 Antworten</v>
      </c>
      <c r="I91" s="82"/>
      <c r="J91" s="11"/>
      <c r="L91" s="11"/>
      <c r="M91" s="11"/>
      <c r="N91" s="2"/>
    </row>
    <row r="92" spans="2:14" x14ac:dyDescent="0.25">
      <c r="B92" s="13" t="s">
        <v>161</v>
      </c>
      <c r="C92" s="13"/>
      <c r="D92" s="13"/>
      <c r="E92" s="30"/>
      <c r="G92" s="32"/>
      <c r="H92" s="78">
        <f>COUNTIFS(taf,B92,SuchSpalte,AuswahlFilter1)/IF(Prozent=TRUE,'Basis f1'!$G$91,1)</f>
        <v>0.56321839080459768</v>
      </c>
      <c r="I92" s="78" t="str">
        <f t="shared" ref="I92:I104" si="8">IF(COUNTIFS(taf,B92,SuchSpalte,AuswahlFilter2)=1,"X","")</f>
        <v/>
      </c>
      <c r="J92" s="30"/>
      <c r="L92" s="11"/>
      <c r="M92" s="11"/>
      <c r="N92" s="2"/>
    </row>
    <row r="93" spans="2:14" x14ac:dyDescent="0.25">
      <c r="B93" s="13" t="s">
        <v>162</v>
      </c>
      <c r="C93" s="13"/>
      <c r="D93" s="13"/>
      <c r="E93" s="13"/>
      <c r="F93" s="13"/>
      <c r="G93" s="32"/>
      <c r="H93" s="78">
        <f>COUNTIFS(taf,B93,SuchSpalte,AuswahlFilter1)/IF(Prozent=TRUE,'Basis f1'!$G$91,1)</f>
        <v>0.16091954022988506</v>
      </c>
      <c r="I93" s="79" t="str">
        <f t="shared" si="8"/>
        <v/>
      </c>
      <c r="J93" s="30"/>
      <c r="L93" s="11"/>
      <c r="M93" s="11"/>
      <c r="N93" s="2"/>
    </row>
    <row r="94" spans="2:14" ht="18" customHeight="1" x14ac:dyDescent="0.25">
      <c r="B94" s="13" t="s">
        <v>163</v>
      </c>
      <c r="C94" s="13"/>
      <c r="D94" s="13"/>
      <c r="E94" s="13"/>
      <c r="F94" s="13"/>
      <c r="G94" s="32"/>
      <c r="H94" s="78">
        <f>COUNTIFS(taf,B94,SuchSpalte,AuswahlFilter1)/IF(Prozent=TRUE,'Basis f1'!$G$91,1)</f>
        <v>0.14942528735632185</v>
      </c>
      <c r="I94" s="79" t="str">
        <f t="shared" si="8"/>
        <v/>
      </c>
      <c r="J94" s="30"/>
      <c r="L94" s="11"/>
      <c r="M94" s="11"/>
      <c r="N94" s="2"/>
    </row>
    <row r="95" spans="2:14" ht="15.75" customHeight="1" x14ac:dyDescent="0.25">
      <c r="B95" s="13" t="s">
        <v>164</v>
      </c>
      <c r="C95" s="13"/>
      <c r="D95" s="14"/>
      <c r="E95" s="14"/>
      <c r="F95" s="14"/>
      <c r="G95" s="32"/>
      <c r="H95" s="78">
        <f>COUNTIFS(taf,B95,SuchSpalte,AuswahlFilter1)/IF(Prozent=TRUE,'Basis f1'!$G$91,1)</f>
        <v>1.1494252873563218E-2</v>
      </c>
      <c r="I95" s="78" t="str">
        <f t="shared" si="8"/>
        <v/>
      </c>
      <c r="J95" s="30"/>
      <c r="L95" s="11"/>
      <c r="M95" s="11"/>
      <c r="N95" s="2"/>
    </row>
    <row r="96" spans="2:14" x14ac:dyDescent="0.25">
      <c r="B96" s="13" t="s">
        <v>125</v>
      </c>
      <c r="C96" s="13"/>
      <c r="D96" s="13"/>
      <c r="E96" s="13"/>
      <c r="F96" s="13"/>
      <c r="G96" s="32"/>
      <c r="H96" s="78">
        <f>COUNTIFS(taf,B96,SuchSpalte,AuswahlFilter1)/IF(Prozent=TRUE,'Basis f1'!$G$91,1)</f>
        <v>0</v>
      </c>
      <c r="I96" s="79" t="str">
        <f t="shared" si="8"/>
        <v/>
      </c>
      <c r="J96" s="30"/>
      <c r="L96" s="11"/>
      <c r="M96" s="11"/>
      <c r="N96" s="2"/>
    </row>
    <row r="97" spans="2:14" x14ac:dyDescent="0.25">
      <c r="B97" s="13" t="s">
        <v>165</v>
      </c>
      <c r="C97" s="13"/>
      <c r="D97" s="13"/>
      <c r="E97" s="13"/>
      <c r="F97" s="13"/>
      <c r="G97" s="32"/>
      <c r="H97" s="78">
        <f>COUNTIFS(taf,B97,SuchSpalte,AuswahlFilter1)/IF(Prozent=TRUE,'Basis f1'!$G$91,1)</f>
        <v>4.5977011494252873E-2</v>
      </c>
      <c r="I97" s="79" t="str">
        <f t="shared" si="8"/>
        <v/>
      </c>
      <c r="J97" s="30"/>
      <c r="L97" s="11"/>
      <c r="M97" s="11"/>
      <c r="N97" s="2"/>
    </row>
    <row r="98" spans="2:14" ht="27" customHeight="1" x14ac:dyDescent="0.25">
      <c r="B98" s="13" t="s">
        <v>166</v>
      </c>
      <c r="C98" s="13"/>
      <c r="D98" s="13"/>
      <c r="E98" s="13"/>
      <c r="F98" s="13"/>
      <c r="G98" s="32"/>
      <c r="H98" s="78">
        <f>COUNTIFS(taf,B98,SuchSpalte,AuswahlFilter1)/IF(Prozent=TRUE,'Basis f1'!$G$91,1)</f>
        <v>1.1494252873563218E-2</v>
      </c>
      <c r="I98" s="78" t="str">
        <f t="shared" si="8"/>
        <v/>
      </c>
      <c r="J98" s="13"/>
      <c r="L98" s="11"/>
      <c r="M98" s="11"/>
      <c r="N98" s="2"/>
    </row>
    <row r="99" spans="2:14" s="30" customFormat="1" ht="12.75" customHeight="1" x14ac:dyDescent="0.25">
      <c r="B99" s="13" t="s">
        <v>167</v>
      </c>
      <c r="C99" s="13"/>
      <c r="D99" s="13"/>
      <c r="E99" s="13"/>
      <c r="F99" s="13"/>
      <c r="G99" s="32"/>
      <c r="H99" s="78">
        <f>COUNTIFS(taf,B99,SuchSpalte,AuswahlFilter1)/IF(Prozent=TRUE,'Basis f1'!$G$91,1)</f>
        <v>1.1494252873563218E-2</v>
      </c>
      <c r="I99" s="79" t="str">
        <f t="shared" si="8"/>
        <v/>
      </c>
      <c r="J99" s="13"/>
      <c r="K99" s="1"/>
    </row>
    <row r="100" spans="2:14" s="30" customFormat="1" x14ac:dyDescent="0.25">
      <c r="B100" s="13" t="s">
        <v>168</v>
      </c>
      <c r="C100" s="13"/>
      <c r="D100" s="13"/>
      <c r="E100" s="13"/>
      <c r="F100" s="13"/>
      <c r="G100" s="32"/>
      <c r="H100" s="78">
        <f>COUNTIFS(taf,B100,SuchSpalte,AuswahlFilter1)/IF(Prozent=TRUE,'Basis f1'!$G$91,1)</f>
        <v>1.1494252873563218E-2</v>
      </c>
      <c r="I100" s="79" t="str">
        <f t="shared" si="8"/>
        <v/>
      </c>
      <c r="J100" s="13"/>
      <c r="K100" s="1"/>
    </row>
    <row r="101" spans="2:14" s="30" customFormat="1" ht="15" customHeight="1" x14ac:dyDescent="0.25">
      <c r="B101" s="13" t="s">
        <v>169</v>
      </c>
      <c r="C101" s="13"/>
      <c r="D101" s="13"/>
      <c r="E101" s="13"/>
      <c r="F101" s="13"/>
      <c r="G101" s="32"/>
      <c r="H101" s="78">
        <f>COUNTIFS(taf,B101,SuchSpalte,AuswahlFilter1)/IF(Prozent=TRUE,'Basis f1'!$G$91,1)</f>
        <v>0</v>
      </c>
      <c r="I101" s="78" t="str">
        <f t="shared" si="8"/>
        <v/>
      </c>
      <c r="J101" s="13"/>
      <c r="K101" s="1"/>
    </row>
    <row r="102" spans="2:14" s="30" customFormat="1" ht="18" customHeight="1" x14ac:dyDescent="0.25">
      <c r="B102" s="13" t="s">
        <v>170</v>
      </c>
      <c r="C102" s="13"/>
      <c r="D102" s="13"/>
      <c r="E102" s="13"/>
      <c r="F102" s="13"/>
      <c r="G102" s="32"/>
      <c r="H102" s="78">
        <f>COUNTIFS(taf,B102,SuchSpalte,AuswahlFilter1)/IF(Prozent=TRUE,'Basis f1'!$G$91,1)</f>
        <v>0</v>
      </c>
      <c r="I102" s="79" t="str">
        <f t="shared" si="8"/>
        <v/>
      </c>
      <c r="J102" s="13"/>
      <c r="K102" s="1"/>
    </row>
    <row r="103" spans="2:14" s="30" customFormat="1" x14ac:dyDescent="0.25">
      <c r="B103" s="13" t="s">
        <v>171</v>
      </c>
      <c r="C103" s="13"/>
      <c r="D103" s="13"/>
      <c r="E103" s="13"/>
      <c r="F103" s="13"/>
      <c r="G103" s="32"/>
      <c r="H103" s="78">
        <f>COUNTIFS(taf,B103,SuchSpalte,AuswahlFilter1)/IF(Prozent=TRUE,'Basis f1'!$G$91,1)</f>
        <v>0</v>
      </c>
      <c r="I103" s="79" t="str">
        <f t="shared" si="8"/>
        <v/>
      </c>
      <c r="J103" s="13"/>
      <c r="K103" s="1"/>
    </row>
    <row r="104" spans="2:14" s="30" customFormat="1" x14ac:dyDescent="0.25">
      <c r="B104" s="13" t="s">
        <v>154</v>
      </c>
      <c r="C104" s="13"/>
      <c r="D104" s="13"/>
      <c r="E104" s="13"/>
      <c r="F104" s="13"/>
      <c r="G104" s="32"/>
      <c r="H104" s="78">
        <f>COUNTIFS(taf,B104,SuchSpalte,AuswahlFilter1)/IF(Prozent=TRUE,'Basis f1'!$G$91,1)</f>
        <v>3.4482758620689655E-2</v>
      </c>
      <c r="I104" s="79" t="str">
        <f t="shared" si="8"/>
        <v/>
      </c>
      <c r="J104" s="13"/>
      <c r="K104" s="1"/>
    </row>
    <row r="105" spans="2:14" s="30" customFormat="1" x14ac:dyDescent="0.25">
      <c r="B105" s="13"/>
      <c r="C105" s="13"/>
      <c r="D105" s="13"/>
      <c r="E105" s="13"/>
      <c r="F105" s="13"/>
      <c r="G105" s="32"/>
      <c r="H105" s="32"/>
      <c r="I105" s="13"/>
      <c r="J105" s="13"/>
      <c r="K105" s="1"/>
    </row>
    <row r="106" spans="2:14" s="30" customFormat="1" x14ac:dyDescent="0.25">
      <c r="B106" s="13"/>
      <c r="C106" s="13"/>
      <c r="D106" s="13"/>
      <c r="E106" s="13"/>
      <c r="F106" s="13"/>
      <c r="G106" s="32"/>
      <c r="H106" s="32"/>
      <c r="I106" s="13"/>
      <c r="J106" s="13"/>
      <c r="K106" s="1"/>
    </row>
    <row r="107" spans="2:14" x14ac:dyDescent="0.25">
      <c r="B107" s="11"/>
      <c r="E107" s="11"/>
      <c r="G107" s="11"/>
      <c r="I107" s="11"/>
      <c r="J107" s="11"/>
      <c r="L107" s="11"/>
      <c r="M107" s="11"/>
      <c r="N107" s="2"/>
    </row>
    <row r="108" spans="2:14" x14ac:dyDescent="0.25">
      <c r="B108" s="3" t="s">
        <v>172</v>
      </c>
      <c r="D108" s="110" t="str">
        <f>'Basis f1'!C108&amp;" Antworten"</f>
        <v>77 Antworten</v>
      </c>
      <c r="E108" s="11"/>
      <c r="G108" s="11"/>
      <c r="I108" s="11"/>
      <c r="J108" s="11"/>
      <c r="L108" s="11"/>
      <c r="M108" s="11"/>
      <c r="N108" s="2"/>
    </row>
    <row r="109" spans="2:14" x14ac:dyDescent="0.25">
      <c r="B109" s="10" t="s">
        <v>173</v>
      </c>
      <c r="C109" s="10"/>
      <c r="D109" s="78">
        <f>COUNTIFS(tag,B109,SuchSpalte,AuswahlFilter1)/IF(Prozent=TRUE,'Basis f1'!$C$108,1)</f>
        <v>1.2987012987012988E-2</v>
      </c>
      <c r="E109" s="78" t="str">
        <f>IF(COUNTIFS(tag,B109,SuchSpalte,AuswahlFilter2)=1,"X","")</f>
        <v/>
      </c>
      <c r="G109" s="10" t="s">
        <v>176</v>
      </c>
      <c r="H109" s="78">
        <f>COUNTIFS(tag,G109,SuchSpalte,AuswahlFilter1)/IF(Prozent=TRUE,'Basis f1'!$C$108,1)</f>
        <v>0.16883116883116883</v>
      </c>
      <c r="I109" s="78" t="str">
        <f>IF(COUNTIFS(tag,G109,SuchSpalte,AuswahlFilter2)=1,"X","")</f>
        <v/>
      </c>
      <c r="J109" s="30"/>
      <c r="L109" s="11"/>
      <c r="M109" s="11"/>
      <c r="N109" s="2"/>
    </row>
    <row r="110" spans="2:14" x14ac:dyDescent="0.25">
      <c r="B110" s="10" t="s">
        <v>174</v>
      </c>
      <c r="C110" s="10"/>
      <c r="D110" s="78">
        <f>COUNTIFS(tag,B110,SuchSpalte,AuswahlFilter1)/IF(Prozent=TRUE,'Basis f1'!$C$108,1)</f>
        <v>2.5974025974025976E-2</v>
      </c>
      <c r="E110" s="79" t="str">
        <f>IF(COUNTIFS(tag,B110,SuchSpalte,AuswahlFilter2)=1,"X","")</f>
        <v/>
      </c>
      <c r="G110" s="10" t="s">
        <v>177</v>
      </c>
      <c r="H110" s="78">
        <f>COUNTIFS(tag,G110,SuchSpalte,AuswahlFilter1)/IF(Prozent=TRUE,'Basis f1'!$C$108,1)</f>
        <v>0.62337662337662336</v>
      </c>
      <c r="I110" s="79" t="str">
        <f>IF(COUNTIFS(tag,G110,SuchSpalte,AuswahlFilter2)=1,"X","")</f>
        <v/>
      </c>
      <c r="J110" s="30"/>
      <c r="L110" s="11"/>
      <c r="M110" s="11"/>
      <c r="N110" s="2"/>
    </row>
    <row r="111" spans="2:14" x14ac:dyDescent="0.25">
      <c r="B111" s="10" t="s">
        <v>175</v>
      </c>
      <c r="C111" s="10"/>
      <c r="D111" s="78">
        <f>COUNTIFS(tag,B111,SuchSpalte,AuswahlFilter1)/IF(Prozent=TRUE,'Basis f1'!$C$108,1)</f>
        <v>1.2987012987012988E-2</v>
      </c>
      <c r="E111" s="79" t="str">
        <f>IF(COUNTIFS(tag,B111,SuchSpalte,AuswahlFilter2)=1,"X","")</f>
        <v/>
      </c>
      <c r="G111" s="10" t="s">
        <v>178</v>
      </c>
      <c r="H111" s="78">
        <f>COUNTIFS(tag,G111,SuchSpalte,AuswahlFilter1)/IF(Prozent=TRUE,'Basis f1'!$C$108,1)</f>
        <v>0.15584415584415584</v>
      </c>
      <c r="I111" s="79" t="str">
        <f>IF(COUNTIFS(tag,G111,SuchSpalte,AuswahlFilter2)=1,"X","")</f>
        <v/>
      </c>
      <c r="J111" s="30"/>
      <c r="L111" s="11"/>
      <c r="M111" s="11"/>
      <c r="N111" s="2"/>
    </row>
    <row r="112" spans="2:14" x14ac:dyDescent="0.25">
      <c r="B112" s="11"/>
      <c r="E112" s="11"/>
      <c r="G112" s="11"/>
      <c r="I112" s="11"/>
      <c r="J112" s="11"/>
      <c r="L112" s="11"/>
      <c r="M112" s="11"/>
      <c r="N112" s="2"/>
    </row>
    <row r="113" spans="2:14" ht="20.25" customHeight="1" x14ac:dyDescent="0.25">
      <c r="B113" s="163" t="s">
        <v>1645</v>
      </c>
      <c r="C113" s="163"/>
      <c r="D113" s="163"/>
      <c r="E113" s="163"/>
      <c r="F113" s="163"/>
      <c r="G113" s="163"/>
      <c r="H113" s="163"/>
      <c r="I113" s="163"/>
      <c r="J113" s="8"/>
      <c r="K113" s="33"/>
      <c r="L113" s="8"/>
      <c r="M113" s="8"/>
      <c r="N113" s="2"/>
    </row>
    <row r="114" spans="2:14" s="30" customFormat="1" ht="17.25" customHeight="1" x14ac:dyDescent="0.25">
      <c r="B114" s="3" t="s">
        <v>1622</v>
      </c>
      <c r="C114" s="108"/>
      <c r="D114" s="110" t="str">
        <f>'Basis f1'!C114&amp;" Antworten"</f>
        <v>84 Antworten</v>
      </c>
      <c r="E114" s="108"/>
      <c r="F114" s="108"/>
      <c r="G114" s="108"/>
      <c r="H114" s="108"/>
      <c r="I114" s="108"/>
      <c r="J114" s="108"/>
      <c r="K114" s="33"/>
      <c r="L114" s="108"/>
      <c r="M114" s="108"/>
    </row>
    <row r="115" spans="2:14" x14ac:dyDescent="0.25">
      <c r="B115" s="10" t="s">
        <v>179</v>
      </c>
      <c r="C115" s="10"/>
      <c r="D115" s="78">
        <f>COUNTIFS(tah,B115,SuchSpalte,AuswahlFilter1)/IF(Prozent=TRUE,'Basis f1'!$C$114,1)</f>
        <v>2.3809523809523808E-2</v>
      </c>
      <c r="E115" s="78" t="str">
        <f>IF(COUNTIFS(tah,B115,SuchSpalte,AuswahlFilter2)=1,"X","")</f>
        <v/>
      </c>
      <c r="G115" s="36" t="s">
        <v>183</v>
      </c>
      <c r="H115" s="78">
        <f>COUNTIFS(tah,G115,SuchSpalte,AuswahlFilter1)/IF(Prozent=TRUE,'Basis f1'!$C$114,1)</f>
        <v>0.20238095238095238</v>
      </c>
      <c r="I115" s="78" t="str">
        <f>IF(COUNTIFS(tah,G115,SuchSpalte,AuswahlFilter2)=1,"X","")</f>
        <v/>
      </c>
      <c r="N115" s="2"/>
    </row>
    <row r="116" spans="2:14" x14ac:dyDescent="0.25">
      <c r="B116" s="10" t="s">
        <v>180</v>
      </c>
      <c r="C116" s="10"/>
      <c r="D116" s="78">
        <f>COUNTIFS(tah,B116,SuchSpalte,AuswahlFilter1)/IF(Prozent=TRUE,'Basis f1'!$C$114,1)</f>
        <v>7.1428571428571425E-2</v>
      </c>
      <c r="E116" s="79" t="str">
        <f>IF(COUNTIFS(tah,B116,SuchSpalte,AuswahlFilter2)=1,"X","")</f>
        <v/>
      </c>
      <c r="G116" s="36" t="s">
        <v>184</v>
      </c>
      <c r="H116" s="78">
        <f>COUNTIFS(tah,G116,SuchSpalte,AuswahlFilter1)/IF(Prozent=TRUE,'Basis f1'!$C$114,1)</f>
        <v>0.15476190476190477</v>
      </c>
      <c r="I116" s="79" t="str">
        <f>IF(COUNTIFS(tah,G116,SuchSpalte,AuswahlFilter2)=1,"X","")</f>
        <v/>
      </c>
      <c r="N116" s="2"/>
    </row>
    <row r="117" spans="2:14" x14ac:dyDescent="0.25">
      <c r="B117" s="10" t="s">
        <v>181</v>
      </c>
      <c r="C117" s="10"/>
      <c r="D117" s="78">
        <f>COUNTIFS(tah,B117,SuchSpalte,AuswahlFilter1)/IF(Prozent=TRUE,'Basis f1'!$C$114,1)</f>
        <v>0.15476190476190477</v>
      </c>
      <c r="E117" s="79" t="str">
        <f>IF(COUNTIFS(tah,B117,SuchSpalte,AuswahlFilter2)=1,"X","")</f>
        <v/>
      </c>
      <c r="G117" s="36" t="s">
        <v>185</v>
      </c>
      <c r="H117" s="78">
        <f>COUNTIFS(tah,G117,SuchSpalte,AuswahlFilter1)/IF(Prozent=TRUE,'Basis f1'!$C$114,1)</f>
        <v>7.1428571428571425E-2</v>
      </c>
      <c r="I117" s="79" t="str">
        <f>IF(COUNTIFS(tah,G117,SuchSpalte,AuswahlFilter2)=1,"X","")</f>
        <v/>
      </c>
      <c r="N117" s="2"/>
    </row>
    <row r="118" spans="2:14" x14ac:dyDescent="0.25">
      <c r="B118" s="10" t="s">
        <v>182</v>
      </c>
      <c r="C118" s="10"/>
      <c r="D118" s="78">
        <f>COUNTIFS(tah,B118,SuchSpalte,AuswahlFilter1)/IF(Prozent=TRUE,'Basis f1'!$C$114,1)</f>
        <v>0.25</v>
      </c>
      <c r="E118" s="78" t="str">
        <f>IF(COUNTIFS(tah,B118,SuchSpalte,AuswahlFilter2)=1,"X","")</f>
        <v/>
      </c>
      <c r="G118" s="36" t="s">
        <v>186</v>
      </c>
      <c r="H118" s="78">
        <f>COUNTIFS(tah,G118,SuchSpalte,AuswahlFilter1)/IF(Prozent=TRUE,'Basis f1'!$C$114,1)</f>
        <v>7.1428571428571425E-2</v>
      </c>
      <c r="I118" s="78" t="str">
        <f>IF(COUNTIFS(tah,G118,SuchSpalte,AuswahlFilter2)=1,"X","")</f>
        <v/>
      </c>
      <c r="N118" s="2"/>
    </row>
    <row r="119" spans="2:14" x14ac:dyDescent="0.25">
      <c r="B119" s="11"/>
      <c r="E119" s="11"/>
      <c r="G119" s="31"/>
      <c r="H119" s="64"/>
      <c r="I119" s="65"/>
      <c r="J119" s="11"/>
      <c r="L119" s="11"/>
      <c r="M119" s="11"/>
      <c r="N119" s="2"/>
    </row>
    <row r="120" spans="2:14" x14ac:dyDescent="0.25">
      <c r="B120" s="11"/>
      <c r="E120" s="11"/>
      <c r="G120" s="31"/>
      <c r="H120" s="64"/>
      <c r="I120" s="65"/>
      <c r="J120" s="11"/>
      <c r="L120" s="11"/>
      <c r="M120" s="11"/>
      <c r="N120" s="2"/>
    </row>
    <row r="121" spans="2:14" x14ac:dyDescent="0.25">
      <c r="B121" s="3" t="s">
        <v>221</v>
      </c>
      <c r="C121" s="3"/>
      <c r="D121" s="3"/>
      <c r="G121" s="31"/>
      <c r="H121" s="2"/>
      <c r="I121" s="65"/>
      <c r="J121" s="11"/>
      <c r="L121" s="11"/>
      <c r="M121" s="11"/>
      <c r="N121" s="2"/>
    </row>
    <row r="122" spans="2:14" s="30" customFormat="1" x14ac:dyDescent="0.25">
      <c r="C122" s="3"/>
      <c r="D122" s="110" t="str">
        <f>'Basis f1'!C122&amp;" Antworten"</f>
        <v>84 Antworten</v>
      </c>
      <c r="G122" s="31"/>
      <c r="H122" s="65"/>
      <c r="I122" s="65"/>
      <c r="K122" s="1"/>
    </row>
    <row r="123" spans="2:14" x14ac:dyDescent="0.25">
      <c r="B123" s="15" t="s">
        <v>187</v>
      </c>
      <c r="D123" s="78">
        <f>COUNTIFS(taj,B123,SuchSpalte,AuswahlFilter1)/IF(Prozent=TRUE,'Basis f1'!$C$122,1)</f>
        <v>0.54761904761904767</v>
      </c>
      <c r="E123" s="78" t="str">
        <f>IF(COUNTIFS(taj,B123,SuchSpalte,AuswahlFilter2)=1,"X","")</f>
        <v/>
      </c>
      <c r="G123" s="31" t="s">
        <v>190</v>
      </c>
      <c r="H123" s="78">
        <f>COUNTIFS(taj,G123,SuchSpalte,AuswahlFilter1)/IF(Prozent=TRUE,'Basis f1'!$C$122,1)</f>
        <v>4.7619047619047616E-2</v>
      </c>
      <c r="I123" s="78" t="str">
        <f>IF(COUNTIFS(taj,G123,SuchSpalte,AuswahlFilter2)=1,"X","")</f>
        <v/>
      </c>
      <c r="J123" s="11"/>
      <c r="L123" s="11"/>
      <c r="M123" s="11"/>
      <c r="N123" s="2"/>
    </row>
    <row r="124" spans="2:14" x14ac:dyDescent="0.25">
      <c r="B124" s="12" t="s">
        <v>188</v>
      </c>
      <c r="C124" s="12"/>
      <c r="D124" s="78">
        <f>COUNTIFS(taj,B124,SuchSpalte,AuswahlFilter1)/IF(Prozent=TRUE,'Basis f1'!$C$122,1)</f>
        <v>0.17857142857142858</v>
      </c>
      <c r="E124" s="79" t="str">
        <f>IF(COUNTIFS(taj,B124,SuchSpalte,AuswahlFilter2)=1,"X","")</f>
        <v/>
      </c>
      <c r="G124" s="31" t="s">
        <v>191</v>
      </c>
      <c r="H124" s="78">
        <f>COUNTIFS(taj,G124,SuchSpalte,AuswahlFilter1)/IF(Prozent=TRUE,'Basis f1'!$C$122,1)</f>
        <v>5.9523809523809521E-2</v>
      </c>
      <c r="I124" s="79" t="str">
        <f>IF(COUNTIFS(taj,G124,SuchSpalte,AuswahlFilter2)=1,"X","")</f>
        <v/>
      </c>
      <c r="J124" s="11"/>
      <c r="L124" s="11"/>
      <c r="M124" s="11"/>
      <c r="N124" s="2"/>
    </row>
    <row r="125" spans="2:14" x14ac:dyDescent="0.25">
      <c r="B125" s="15" t="s">
        <v>189</v>
      </c>
      <c r="D125" s="78">
        <f>COUNTIFS(taj,B125,SuchSpalte,AuswahlFilter1)/IF(Prozent=TRUE,'Basis f1'!$C$122,1)</f>
        <v>5.9523809523809521E-2</v>
      </c>
      <c r="E125" s="79" t="str">
        <f>IF(COUNTIFS(taj,B125,SuchSpalte,AuswahlFilter2)=1,"X","")</f>
        <v/>
      </c>
      <c r="G125" s="31" t="s">
        <v>192</v>
      </c>
      <c r="H125" s="78">
        <f>COUNTIFS(taj,G125,SuchSpalte,AuswahlFilter1)/IF(Prozent=TRUE,'Basis f1'!$C$122,1)</f>
        <v>0.10714285714285714</v>
      </c>
      <c r="I125" s="79" t="str">
        <f>IF(COUNTIFS(taj,G125,SuchSpalte,AuswahlFilter2)=1,"X","")</f>
        <v/>
      </c>
      <c r="J125" s="11"/>
      <c r="L125" s="11"/>
      <c r="M125" s="11"/>
      <c r="N125" s="2"/>
    </row>
    <row r="126" spans="2:14" x14ac:dyDescent="0.25">
      <c r="B126" s="11"/>
      <c r="E126" s="11"/>
      <c r="G126" s="31"/>
      <c r="I126" s="11"/>
      <c r="J126" s="11"/>
      <c r="L126" s="11"/>
      <c r="M126" s="11"/>
      <c r="N126" s="2"/>
    </row>
    <row r="127" spans="2:14" x14ac:dyDescent="0.25">
      <c r="J127" s="11"/>
      <c r="L127" s="11"/>
      <c r="M127" s="11"/>
      <c r="N127" s="2"/>
    </row>
    <row r="128" spans="2:14" ht="35.25" customHeight="1" x14ac:dyDescent="0.25">
      <c r="B128" s="163" t="s">
        <v>222</v>
      </c>
      <c r="C128" s="163"/>
      <c r="D128" s="163"/>
      <c r="E128" s="163"/>
      <c r="F128" s="163"/>
      <c r="G128" s="163"/>
      <c r="H128" s="163"/>
      <c r="I128" s="163"/>
      <c r="J128" s="163"/>
      <c r="L128" s="8"/>
      <c r="M128" s="11"/>
      <c r="N128" s="2"/>
    </row>
    <row r="129" spans="2:17" s="30" customFormat="1" ht="15" customHeight="1" x14ac:dyDescent="0.25">
      <c r="B129" s="108"/>
      <c r="C129" s="108"/>
      <c r="D129" s="108"/>
      <c r="E129" s="108"/>
      <c r="F129" s="108"/>
      <c r="G129" s="108"/>
      <c r="H129" s="110" t="str">
        <f>'Basis f1'!G129&amp;" Antworten"</f>
        <v>168 Antworten</v>
      </c>
      <c r="I129" s="108"/>
      <c r="J129" s="108"/>
      <c r="K129" s="1"/>
      <c r="L129" s="108"/>
    </row>
    <row r="130" spans="2:17" x14ac:dyDescent="0.25">
      <c r="B130" s="15" t="s">
        <v>33</v>
      </c>
      <c r="E130" s="15"/>
      <c r="G130" s="15"/>
      <c r="H130" s="78">
        <f>COUNTIFS(tal,TRUE,SuchSpalte,AuswahlFilter1)/IF(Prozent=TRUE,'Basis f1'!$G$129,1)</f>
        <v>0.24404761904761904</v>
      </c>
      <c r="I130" s="78" t="str">
        <f>IF(COUNTIFS(tal,TRUE,SuchSpalte,AuswahlFilter2)=1,"X","")</f>
        <v/>
      </c>
      <c r="J130" s="15"/>
      <c r="L130" s="15"/>
      <c r="M130" s="11"/>
      <c r="Q130" s="111"/>
    </row>
    <row r="131" spans="2:17" x14ac:dyDescent="0.25">
      <c r="B131" s="15" t="s">
        <v>34</v>
      </c>
      <c r="E131" s="15"/>
      <c r="G131" s="15"/>
      <c r="H131" s="79">
        <f>COUNTIFS(tam,TRUE,SuchSpalte,AuswahlFilter1)/IF(Prozent=TRUE,'Basis f1'!$G$129,1)</f>
        <v>0.1130952380952381</v>
      </c>
      <c r="I131" s="79" t="str">
        <f>IF(COUNTIFS(tam,TRUE,SuchSpalte,AuswahlFilter2)=1,"X","")</f>
        <v/>
      </c>
      <c r="J131" s="15"/>
      <c r="L131" s="15"/>
      <c r="M131" s="11"/>
      <c r="Q131" s="111"/>
    </row>
    <row r="132" spans="2:17" x14ac:dyDescent="0.25">
      <c r="B132" s="4" t="s">
        <v>35</v>
      </c>
      <c r="C132" s="4"/>
      <c r="D132" s="4"/>
      <c r="E132" s="15"/>
      <c r="G132" s="15"/>
      <c r="H132" s="79">
        <f>COUNTIFS(tan,TRUE,SuchSpalte,AuswahlFilter1)/IF(Prozent=TRUE,'Basis f1'!$G$129,1)</f>
        <v>5.3571428571428568E-2</v>
      </c>
      <c r="I132" s="79" t="str">
        <f>IF(COUNTIFS(tan,TRUE,SuchSpalte,AuswahlFilter2)=1,"X","")</f>
        <v/>
      </c>
      <c r="J132" s="15"/>
      <c r="L132" s="15"/>
      <c r="M132" s="11"/>
      <c r="Q132" s="111"/>
    </row>
    <row r="133" spans="2:17" x14ac:dyDescent="0.25">
      <c r="B133" s="4" t="s">
        <v>36</v>
      </c>
      <c r="C133" s="4"/>
      <c r="D133" s="4"/>
      <c r="E133" s="15"/>
      <c r="G133" s="15"/>
      <c r="H133" s="79">
        <f>COUNTIFS(tao,TRUE,SuchSpalte,AuswahlFilter1)/IF(Prozent=TRUE,'Basis f1'!$G$129,1)</f>
        <v>5.9523809523809521E-3</v>
      </c>
      <c r="I133" s="79" t="str">
        <f>IF(COUNTIFS(tao,TRUE,SuchSpalte,AuswahlFilter2)=1,"X","")</f>
        <v/>
      </c>
      <c r="J133" s="15"/>
      <c r="L133" s="15"/>
      <c r="M133" s="11"/>
      <c r="Q133" s="111"/>
    </row>
    <row r="134" spans="2:17" x14ac:dyDescent="0.25">
      <c r="B134" s="161" t="s">
        <v>1633</v>
      </c>
      <c r="C134" s="161"/>
      <c r="D134" s="161"/>
      <c r="E134" s="161"/>
      <c r="F134" s="161"/>
      <c r="G134" s="161"/>
      <c r="H134" s="78">
        <f>COUNTIFS(tap,TRUE,SuchSpalte,AuswahlFilter1)/IF(Prozent=TRUE,'Basis f1'!$G$129,1)</f>
        <v>2.976190476190476E-2</v>
      </c>
      <c r="I134" s="78" t="str">
        <f>IF(COUNTIFS(tap,TRUE,SuchSpalte,AuswahlFilter2)=1,"X","")</f>
        <v/>
      </c>
      <c r="J134" s="15"/>
      <c r="L134" s="15"/>
      <c r="M134" s="11"/>
      <c r="Q134" s="111"/>
    </row>
    <row r="135" spans="2:17" x14ac:dyDescent="0.25">
      <c r="B135" s="161" t="s">
        <v>1634</v>
      </c>
      <c r="C135" s="161"/>
      <c r="D135" s="161"/>
      <c r="E135" s="161"/>
      <c r="F135" s="161"/>
      <c r="G135" s="161"/>
      <c r="H135" s="79">
        <f>COUNTIFS(taq,TRUE,SuchSpalte,AuswahlFilter1)/IF(Prozent=TRUE,'Basis f1'!$G$129,1)</f>
        <v>0.10714285714285714</v>
      </c>
      <c r="I135" s="79" t="str">
        <f>IF(COUNTIFS(taq,TRUE,SuchSpalte,AuswahlFilter2)=1,"X","")</f>
        <v/>
      </c>
      <c r="J135" s="15"/>
      <c r="L135" s="15"/>
      <c r="M135" s="11"/>
      <c r="Q135" s="111"/>
    </row>
    <row r="136" spans="2:17" x14ac:dyDescent="0.25">
      <c r="B136" s="15"/>
      <c r="E136" s="15"/>
      <c r="G136" s="15"/>
      <c r="H136" s="80"/>
      <c r="I136" s="80"/>
      <c r="J136" s="15"/>
      <c r="L136" s="15"/>
      <c r="M136" s="11"/>
      <c r="Q136" s="112"/>
    </row>
    <row r="137" spans="2:17" x14ac:dyDescent="0.25">
      <c r="B137" s="4" t="s">
        <v>39</v>
      </c>
      <c r="C137" s="4"/>
      <c r="D137" s="4"/>
      <c r="E137" s="15"/>
      <c r="G137" s="15"/>
      <c r="H137" s="78">
        <f>COUNTIFS(tar,TRUE,SuchSpalte,AuswahlFilter1)/IF(Prozent=TRUE,'Basis f1'!$G$129,1)</f>
        <v>0.25595238095238093</v>
      </c>
      <c r="I137" s="78" t="str">
        <f>IF(COUNTIFS(tar,TRUE,SuchSpalte,AuswahlFilter2)=1,"X","")</f>
        <v/>
      </c>
      <c r="J137" s="15"/>
      <c r="L137" s="15"/>
      <c r="M137" s="11"/>
      <c r="Q137" s="111"/>
    </row>
    <row r="138" spans="2:17" x14ac:dyDescent="0.25">
      <c r="B138" s="4" t="s">
        <v>40</v>
      </c>
      <c r="C138" s="4"/>
      <c r="D138" s="4"/>
      <c r="E138" s="15"/>
      <c r="G138" s="15"/>
      <c r="H138" s="79">
        <f>COUNTIFS(tas,TRUE,SuchSpalte,AuswahlFilter1)/IF(Prozent=TRUE,'Basis f1'!$G$129,1)</f>
        <v>0.15476190476190477</v>
      </c>
      <c r="I138" s="79" t="str">
        <f>IF(COUNTIFS(tas,TRUE,SuchSpalte,AuswahlFilter2)=1,"X","")</f>
        <v/>
      </c>
      <c r="J138" s="15"/>
      <c r="L138" s="15"/>
      <c r="M138" s="11"/>
      <c r="Q138" s="111"/>
    </row>
    <row r="139" spans="2:17" x14ac:dyDescent="0.25">
      <c r="B139" s="4" t="s">
        <v>1635</v>
      </c>
      <c r="C139" s="4"/>
      <c r="D139" s="4"/>
      <c r="E139" s="15"/>
      <c r="G139" s="15"/>
      <c r="H139" s="79">
        <f>COUNTIFS(tat,TRUE,SuchSpalte,AuswahlFilter1)/IF(Prozent=TRUE,'Basis f1'!$G$129,1)</f>
        <v>0</v>
      </c>
      <c r="I139" s="79" t="str">
        <f>IF(COUNTIFS(tat,TRUE,SuchSpalte,AuswahlFilter2)=1,"X","")</f>
        <v/>
      </c>
      <c r="J139" s="15"/>
      <c r="L139" s="15"/>
      <c r="M139" s="11"/>
      <c r="Q139" s="111"/>
    </row>
    <row r="140" spans="2:17" x14ac:dyDescent="0.25">
      <c r="B140" s="4" t="s">
        <v>42</v>
      </c>
      <c r="C140" s="4"/>
      <c r="D140" s="4"/>
      <c r="E140" s="15"/>
      <c r="G140" s="15"/>
      <c r="H140" s="79">
        <f>COUNTIFS(tau,TRUE,SuchSpalte,AuswahlFilter1)/IF(Prozent=TRUE,'Basis f1'!$G$129,1)</f>
        <v>3.5714285714285712E-2</v>
      </c>
      <c r="I140" s="79" t="str">
        <f>IF(COUNTIFS(tau,TRUE,SuchSpalte,AuswahlFilter2)=1,"X","")</f>
        <v/>
      </c>
      <c r="J140" s="15"/>
      <c r="L140" s="15"/>
      <c r="M140" s="11"/>
      <c r="Q140" s="111"/>
    </row>
    <row r="141" spans="2:17" x14ac:dyDescent="0.25">
      <c r="B141" s="12"/>
      <c r="C141" s="12"/>
      <c r="D141" s="12"/>
      <c r="E141" s="15"/>
      <c r="G141" s="6"/>
      <c r="H141" s="80"/>
      <c r="I141" s="80"/>
      <c r="J141" s="11"/>
      <c r="L141" s="11"/>
      <c r="M141" s="11"/>
    </row>
    <row r="142" spans="2:17" x14ac:dyDescent="0.25">
      <c r="E142" s="15"/>
      <c r="G142" s="6"/>
      <c r="H142" s="80"/>
      <c r="I142" s="80"/>
      <c r="J142" s="11"/>
      <c r="L142" s="11"/>
      <c r="M142" s="11"/>
    </row>
    <row r="143" spans="2:17" x14ac:dyDescent="0.25">
      <c r="B143" s="3" t="s">
        <v>1636</v>
      </c>
      <c r="C143" s="3"/>
      <c r="D143" s="3"/>
      <c r="E143" s="15"/>
      <c r="G143" s="15"/>
      <c r="H143" s="110" t="str">
        <f>'Basis f1'!G143&amp;" Antworten"</f>
        <v>84 Antworten</v>
      </c>
      <c r="I143" s="80"/>
      <c r="J143" s="11"/>
      <c r="L143" s="11"/>
      <c r="M143" s="11"/>
    </row>
    <row r="144" spans="2:17" x14ac:dyDescent="0.25">
      <c r="B144" s="11" t="s">
        <v>33</v>
      </c>
      <c r="E144" s="15"/>
      <c r="G144" s="15"/>
      <c r="H144" s="78">
        <f>COUNTIFS(tav,B144,SuchSpalte,AuswahlFilter1)/IF(Prozent=TRUE,'Basis f1'!$G$143,1)</f>
        <v>5.9523809523809521E-2</v>
      </c>
      <c r="I144" s="78" t="str">
        <f>IF(COUNTIFS(tav,B144,SuchSpalte,AuswahlFilter2)=1,"X","")</f>
        <v/>
      </c>
      <c r="J144" s="11"/>
      <c r="L144" s="11"/>
      <c r="M144" s="11"/>
    </row>
    <row r="145" spans="1:14" x14ac:dyDescent="0.25">
      <c r="B145" s="30" t="s">
        <v>1637</v>
      </c>
      <c r="H145" s="78">
        <f>COUNTIFS(tav,"Ja wir erbringen logistische Dienstleistung",SuchSpalte,AuswahlFilter1)/IF(Prozent=TRUE,'Basis f1'!$G$143,1)</f>
        <v>0.15476190476190477</v>
      </c>
      <c r="I145" s="79" t="str">
        <f>IF(COUNTIFS(tav,B145,SuchSpalte,AuswahlFilter2)=1,"X","")</f>
        <v/>
      </c>
      <c r="J145" s="11"/>
      <c r="L145" s="11"/>
      <c r="M145" s="11"/>
    </row>
    <row r="146" spans="1:14" x14ac:dyDescent="0.25">
      <c r="B146" s="11" t="s">
        <v>194</v>
      </c>
      <c r="H146" s="78">
        <f>COUNTIFS(tav,B146,SuchSpalte,AuswahlFilter1)/IF(Prozent=TRUE,'Basis f1'!$G$143,1)</f>
        <v>0.27380952380952384</v>
      </c>
      <c r="I146" s="79" t="str">
        <f>IF(COUNTIFS(tav,B146,SuchSpalte,AuswahlFilter2)=1,"X","")</f>
        <v/>
      </c>
      <c r="J146" s="11"/>
      <c r="L146" s="11"/>
      <c r="M146" s="11"/>
    </row>
    <row r="147" spans="1:14" x14ac:dyDescent="0.25">
      <c r="B147" s="11" t="s">
        <v>195</v>
      </c>
      <c r="E147" s="11"/>
      <c r="G147" s="11"/>
      <c r="H147" s="78">
        <f>COUNTIFS(tav,B147,SuchSpalte,AuswahlFilter1)/IF(Prozent=TRUE,'Basis f1'!$G$143,1)</f>
        <v>0.51190476190476186</v>
      </c>
      <c r="I147" s="79" t="str">
        <f>IF(COUNTIFS(tav,B147,SuchSpalte,AuswahlFilter2)=1,"X","")</f>
        <v/>
      </c>
      <c r="J147" s="11"/>
      <c r="L147" s="11"/>
      <c r="M147" s="11"/>
    </row>
    <row r="148" spans="1:14" x14ac:dyDescent="0.25">
      <c r="E148" s="11"/>
      <c r="G148" s="11"/>
      <c r="H148" s="77"/>
      <c r="I148" s="83"/>
      <c r="J148" s="11"/>
      <c r="L148" s="11"/>
      <c r="M148" s="11"/>
    </row>
    <row r="149" spans="1:14" x14ac:dyDescent="0.25">
      <c r="B149" s="11"/>
      <c r="E149" s="11"/>
      <c r="G149" s="11"/>
      <c r="I149" s="11"/>
      <c r="J149" s="11"/>
      <c r="L149" s="11"/>
      <c r="M149" s="11"/>
    </row>
    <row r="150" spans="1:14" ht="30" customHeight="1" x14ac:dyDescent="0.25">
      <c r="B150" s="163" t="s">
        <v>1638</v>
      </c>
      <c r="C150" s="163"/>
      <c r="D150" s="163"/>
      <c r="E150" s="163"/>
      <c r="F150" s="163"/>
      <c r="G150" s="163"/>
      <c r="H150" s="163"/>
      <c r="I150" s="163"/>
      <c r="J150" s="163"/>
      <c r="K150" s="33"/>
      <c r="L150" s="8"/>
      <c r="M150" s="8"/>
    </row>
    <row r="151" spans="1:14" s="16" customFormat="1" ht="19.5" customHeight="1" x14ac:dyDescent="0.25">
      <c r="A151" s="30"/>
      <c r="B151" s="8"/>
      <c r="C151" s="8"/>
      <c r="D151" s="8"/>
      <c r="E151" s="8"/>
      <c r="F151" s="8"/>
      <c r="G151" s="8"/>
      <c r="H151" s="8"/>
      <c r="I151" s="8"/>
      <c r="J151" s="8"/>
      <c r="K151" s="33"/>
      <c r="L151" s="8"/>
      <c r="M151" s="8"/>
      <c r="N151" s="30"/>
    </row>
    <row r="152" spans="1:14" ht="21.75" customHeight="1" x14ac:dyDescent="0.25">
      <c r="B152" s="18" t="s">
        <v>45</v>
      </c>
      <c r="C152" s="18"/>
      <c r="D152" s="18"/>
      <c r="E152" s="13"/>
      <c r="F152" s="13"/>
      <c r="G152" s="18" t="s">
        <v>46</v>
      </c>
      <c r="H152" s="13"/>
      <c r="I152" s="18"/>
      <c r="J152" s="18"/>
      <c r="K152" s="34"/>
      <c r="L152" s="18"/>
      <c r="M152" s="18"/>
    </row>
    <row r="153" spans="1:14" s="30" customFormat="1" ht="13.5" customHeight="1" x14ac:dyDescent="0.25">
      <c r="B153" s="18"/>
      <c r="C153" s="18"/>
      <c r="D153" s="110" t="str">
        <f>'Basis f1'!C153&amp;" Antworten"</f>
        <v>78 Antworten</v>
      </c>
      <c r="E153" s="13"/>
      <c r="F153" s="13"/>
      <c r="G153" s="18"/>
      <c r="H153" s="110" t="str">
        <f>'Basis f1'!G153&amp;" Antworten"</f>
        <v>63 Antworten</v>
      </c>
      <c r="I153" s="18"/>
      <c r="J153" s="18"/>
      <c r="K153" s="34"/>
      <c r="L153" s="18"/>
      <c r="M153" s="18"/>
    </row>
    <row r="154" spans="1:14" x14ac:dyDescent="0.25">
      <c r="B154" s="11" t="s">
        <v>196</v>
      </c>
      <c r="D154" s="78">
        <f>COUNTIFS(taw,B154,SuchSpalte,AuswahlFilter1)/IF(Prozent=TRUE,'Basis f1'!$C$153,1)</f>
        <v>0.74358974358974361</v>
      </c>
      <c r="E154" s="78" t="str">
        <f>IF(COUNTIFS(taw,B154,SuchSpalte,AuswahlFilter2)=1,"X","")</f>
        <v/>
      </c>
      <c r="G154" s="16" t="s">
        <v>196</v>
      </c>
      <c r="H154" s="78">
        <f>COUNTIFS(tax,G154,SuchSpalte,AuswahlFilter1)/IF(Prozent=TRUE,'Basis f1'!$G$153,1)</f>
        <v>9.5238095238095233E-2</v>
      </c>
      <c r="I154" s="78" t="str">
        <f>IF(COUNTIFS(tax,G154,SuchSpalte,AuswahlFilter2)=1,"X","")</f>
        <v/>
      </c>
      <c r="J154" s="11"/>
      <c r="L154" s="11"/>
      <c r="M154" s="11"/>
    </row>
    <row r="155" spans="1:14" x14ac:dyDescent="0.25">
      <c r="B155" s="11" t="s">
        <v>197</v>
      </c>
      <c r="D155" s="78">
        <f>COUNTIFS(taw,B155,SuchSpalte,AuswahlFilter1)/IF(Prozent=TRUE,'Basis f1'!$C$153,1)</f>
        <v>2.564102564102564E-2</v>
      </c>
      <c r="E155" s="79" t="str">
        <f>IF(COUNTIFS(taw,B155,SuchSpalte,AuswahlFilter2)=1,"X","")</f>
        <v/>
      </c>
      <c r="G155" s="16" t="s">
        <v>197</v>
      </c>
      <c r="H155" s="78">
        <f>COUNTIFS(tax,G155,SuchSpalte,AuswahlFilter1)/IF(Prozent=TRUE,'Basis f1'!$G$153,1)</f>
        <v>1.5873015873015872E-2</v>
      </c>
      <c r="I155" s="79" t="str">
        <f>IF(COUNTIFS(tax,G155,SuchSpalte,AuswahlFilter2)=1,"X","")</f>
        <v/>
      </c>
      <c r="J155" s="11"/>
      <c r="L155" s="11"/>
      <c r="M155" s="11"/>
    </row>
    <row r="156" spans="1:14" x14ac:dyDescent="0.25">
      <c r="B156" s="11" t="s">
        <v>198</v>
      </c>
      <c r="D156" s="78">
        <f>COUNTIFS(taw,B156,SuchSpalte,AuswahlFilter1)/IF(Prozent=TRUE,'Basis f1'!$C$153,1)</f>
        <v>2.564102564102564E-2</v>
      </c>
      <c r="E156" s="79" t="str">
        <f>IF(COUNTIFS(taw,B156,SuchSpalte,AuswahlFilter2)=1,"X","")</f>
        <v/>
      </c>
      <c r="G156" s="16" t="s">
        <v>198</v>
      </c>
      <c r="H156" s="78">
        <f>COUNTIFS(tax,G156,SuchSpalte,AuswahlFilter1)/IF(Prozent=TRUE,'Basis f1'!$G$153,1)</f>
        <v>9.5238095238095233E-2</v>
      </c>
      <c r="I156" s="79" t="str">
        <f>IF(COUNTIFS(tax,G156,SuchSpalte,AuswahlFilter2)=1,"X","")</f>
        <v/>
      </c>
      <c r="J156" s="11"/>
      <c r="L156" s="11"/>
      <c r="M156" s="11"/>
    </row>
    <row r="157" spans="1:14" x14ac:dyDescent="0.25">
      <c r="B157" s="11" t="s">
        <v>199</v>
      </c>
      <c r="D157" s="78">
        <f>COUNTIFS(taw,B157,SuchSpalte,AuswahlFilter1)/IF(Prozent=TRUE,'Basis f1'!$C$153,1)</f>
        <v>0.11538461538461539</v>
      </c>
      <c r="E157" s="79" t="str">
        <f>IF(COUNTIFS(taw,B157,SuchSpalte,AuswahlFilter2)=1,"X","")</f>
        <v/>
      </c>
      <c r="G157" s="5" t="s">
        <v>199</v>
      </c>
      <c r="H157" s="78">
        <f>COUNTIFS(tax,G157,SuchSpalte,AuswahlFilter1)/IF(Prozent=TRUE,'Basis f1'!$G$153,1)</f>
        <v>0.44444444444444442</v>
      </c>
      <c r="I157" s="79" t="str">
        <f>IF(COUNTIFS(tax,G157,SuchSpalte,AuswahlFilter2)=1,"X","")</f>
        <v/>
      </c>
      <c r="J157" s="11"/>
      <c r="L157" s="11"/>
      <c r="M157" s="11"/>
    </row>
    <row r="158" spans="1:14" ht="15.75" customHeight="1" x14ac:dyDescent="0.25">
      <c r="B158" s="162" t="s">
        <v>200</v>
      </c>
      <c r="C158" s="162"/>
      <c r="D158" s="78">
        <f>COUNTIFS(taw,B158,SuchSpalte,AuswahlFilter1)/IF(Prozent=TRUE,'Basis f1'!$C$153,1)</f>
        <v>8.9743589743589744E-2</v>
      </c>
      <c r="E158" s="79" t="str">
        <f>IF(COUNTIFS(taw,B158,SuchSpalte,AuswahlFilter2)=1,"X","")</f>
        <v/>
      </c>
      <c r="G158" s="9" t="s">
        <v>200</v>
      </c>
      <c r="H158" s="78">
        <f>COUNTIFS(tax,G158,SuchSpalte,AuswahlFilter1)/IF(Prozent=TRUE,'Basis f1'!$G$153,1)</f>
        <v>0.34920634920634919</v>
      </c>
      <c r="I158" s="79" t="str">
        <f>IF(COUNTIFS(tax,G158,SuchSpalte,AuswahlFilter2)=1,"X","")</f>
        <v/>
      </c>
      <c r="J158" s="11"/>
      <c r="L158" s="11"/>
      <c r="M158" s="11"/>
    </row>
    <row r="159" spans="1:14" x14ac:dyDescent="0.25">
      <c r="B159" s="11"/>
      <c r="E159" s="11"/>
      <c r="H159" s="6"/>
      <c r="I159" s="6"/>
      <c r="J159" s="11"/>
      <c r="L159" s="11"/>
      <c r="M159" s="11"/>
    </row>
    <row r="160" spans="1:14" ht="30.75" customHeight="1" x14ac:dyDescent="0.25">
      <c r="B160" s="163" t="s">
        <v>1175</v>
      </c>
      <c r="C160" s="163"/>
      <c r="D160" s="163"/>
      <c r="E160" s="163"/>
      <c r="F160" s="17"/>
      <c r="G160" s="18" t="s">
        <v>48</v>
      </c>
      <c r="H160" s="69"/>
      <c r="I160" s="6"/>
      <c r="J160" s="11"/>
      <c r="L160" s="11"/>
      <c r="M160" s="11"/>
    </row>
    <row r="161" spans="2:14" s="30" customFormat="1" ht="12" customHeight="1" x14ac:dyDescent="0.25">
      <c r="B161" s="108"/>
      <c r="C161" s="108"/>
      <c r="D161" s="110" t="str">
        <f>'Basis f1'!C161&amp;" Antworten"</f>
        <v>62 Antworten</v>
      </c>
      <c r="E161" s="108"/>
      <c r="F161" s="17"/>
      <c r="G161" s="18"/>
      <c r="H161" s="110" t="str">
        <f>'Basis f1'!G161&amp;" Antworten"</f>
        <v>61 Antworten</v>
      </c>
      <c r="I161" s="6"/>
      <c r="K161" s="1"/>
    </row>
    <row r="162" spans="2:14" x14ac:dyDescent="0.25">
      <c r="B162" s="30" t="s">
        <v>196</v>
      </c>
      <c r="D162" s="78">
        <f>COUNTIFS(tay,B162,SuchSpalte,AuswahlFilter1)/IF(Prozent=TRUE,'Basis f1'!$C$161,1)</f>
        <v>0.22580645161290322</v>
      </c>
      <c r="E162" s="78" t="str">
        <f>IF(COUNTIFS(tay,B162,SuchSpalte,AuswahlFilter2)=1,"X","")</f>
        <v/>
      </c>
      <c r="G162" s="30" t="s">
        <v>196</v>
      </c>
      <c r="H162" s="78">
        <f>COUNTIFS(taz,G162,SuchSpalte,AuswahlFilter1)/IF(Prozent=TRUE,'Basis f1'!$G$161,1)</f>
        <v>0.19672131147540983</v>
      </c>
      <c r="I162" s="78" t="str">
        <f>IF(COUNTIFS(taz,G162,SuchSpalte,AuswahlFilter2)=1,"X","")</f>
        <v/>
      </c>
      <c r="J162" s="30"/>
      <c r="L162" s="11"/>
      <c r="M162" s="11"/>
      <c r="N162" s="2"/>
    </row>
    <row r="163" spans="2:14" x14ac:dyDescent="0.25">
      <c r="B163" s="30" t="s">
        <v>197</v>
      </c>
      <c r="D163" s="78">
        <f>COUNTIFS(tay,B163,SuchSpalte,AuswahlFilter1)/IF(Prozent=TRUE,'Basis f1'!$C$161,1)</f>
        <v>1.6129032258064516E-2</v>
      </c>
      <c r="E163" s="79" t="str">
        <f>IF(COUNTIFS(tay,B163,SuchSpalte,AuswahlFilter2)=1,"X","")</f>
        <v/>
      </c>
      <c r="G163" s="30" t="s">
        <v>197</v>
      </c>
      <c r="H163" s="78">
        <f>COUNTIFS(taz,G163,SuchSpalte,AuswahlFilter1)/IF(Prozent=TRUE,'Basis f1'!$G$161,1)</f>
        <v>1.6393442622950821E-2</v>
      </c>
      <c r="I163" s="79" t="str">
        <f>IF(COUNTIFS(taz,G163,SuchSpalte,AuswahlFilter2)=1,"X","")</f>
        <v/>
      </c>
      <c r="J163" s="30"/>
      <c r="L163" s="11"/>
      <c r="M163" s="11"/>
      <c r="N163" s="2"/>
    </row>
    <row r="164" spans="2:14" x14ac:dyDescent="0.25">
      <c r="B164" s="30" t="s">
        <v>198</v>
      </c>
      <c r="D164" s="78">
        <f>COUNTIFS(tay,B164,SuchSpalte,AuswahlFilter1)/IF(Prozent=TRUE,'Basis f1'!$C$161,1)</f>
        <v>0.12903225806451613</v>
      </c>
      <c r="E164" s="79" t="str">
        <f>IF(COUNTIFS(tay,B164,SuchSpalte,AuswahlFilter2)=1,"X","")</f>
        <v/>
      </c>
      <c r="G164" s="30" t="s">
        <v>198</v>
      </c>
      <c r="H164" s="78">
        <f>COUNTIFS(taz,G164,SuchSpalte,AuswahlFilter1)/IF(Prozent=TRUE,'Basis f1'!$G$161,1)</f>
        <v>8.1967213114754092E-2</v>
      </c>
      <c r="I164" s="79" t="str">
        <f>IF(COUNTIFS(taz,G164,SuchSpalte,AuswahlFilter2)=1,"X","")</f>
        <v/>
      </c>
      <c r="J164" s="30"/>
      <c r="L164" s="11"/>
      <c r="M164" s="11"/>
      <c r="N164" s="2"/>
    </row>
    <row r="165" spans="2:14" x14ac:dyDescent="0.25">
      <c r="B165" s="30" t="s">
        <v>199</v>
      </c>
      <c r="D165" s="78">
        <f>COUNTIFS(tay,B165,SuchSpalte,AuswahlFilter1)/IF(Prozent=TRUE,'Basis f1'!$C$161,1)</f>
        <v>0.30645161290322581</v>
      </c>
      <c r="E165" s="79" t="str">
        <f>IF(COUNTIFS(tay,B165,SuchSpalte,AuswahlFilter2)=1,"X","")</f>
        <v/>
      </c>
      <c r="G165" s="30" t="s">
        <v>199</v>
      </c>
      <c r="H165" s="78">
        <f>COUNTIFS(taz,G165,SuchSpalte,AuswahlFilter1)/IF(Prozent=TRUE,'Basis f1'!$G$161,1)</f>
        <v>0.37704918032786883</v>
      </c>
      <c r="I165" s="79" t="str">
        <f>IF(COUNTIFS(taz,G165,SuchSpalte,AuswahlFilter2)=1,"X","")</f>
        <v/>
      </c>
      <c r="J165" s="30"/>
      <c r="L165" s="11"/>
      <c r="M165" s="11"/>
      <c r="N165" s="2"/>
    </row>
    <row r="166" spans="2:14" ht="18.75" customHeight="1" x14ac:dyDescent="0.25">
      <c r="B166" s="162" t="s">
        <v>200</v>
      </c>
      <c r="C166" s="162"/>
      <c r="D166" s="78">
        <f>COUNTIFS(tay,B166,SuchSpalte,AuswahlFilter1)/IF(Prozent=TRUE,'Basis f1'!$C$161,1)</f>
        <v>0.32258064516129031</v>
      </c>
      <c r="E166" s="79" t="str">
        <f>IF(COUNTIFS(tay,B166,SuchSpalte,AuswahlFilter2)=1,"X","")</f>
        <v/>
      </c>
      <c r="G166" s="9" t="s">
        <v>200</v>
      </c>
      <c r="H166" s="78">
        <f>COUNTIFS(taz,G166,SuchSpalte,AuswahlFilter1)/IF(Prozent=TRUE,'Basis f1'!$G$161,1)</f>
        <v>0.32786885245901637</v>
      </c>
      <c r="I166" s="79" t="str">
        <f>IF(COUNTIFS(taz,G166,SuchSpalte,AuswahlFilter2)=1,"X","")</f>
        <v/>
      </c>
      <c r="J166" s="30"/>
      <c r="L166" s="11"/>
      <c r="M166" s="11"/>
      <c r="N166" s="2"/>
    </row>
    <row r="167" spans="2:14" x14ac:dyDescent="0.25">
      <c r="D167" s="80"/>
      <c r="E167" s="80"/>
      <c r="H167" s="80"/>
      <c r="I167" s="80"/>
      <c r="J167" s="11"/>
      <c r="L167" s="11"/>
      <c r="M167" s="11"/>
      <c r="N167" s="2"/>
    </row>
    <row r="168" spans="2:14" s="3" customFormat="1" x14ac:dyDescent="0.25">
      <c r="B168" s="3" t="s">
        <v>49</v>
      </c>
      <c r="D168" s="110" t="str">
        <f>'Basis f1'!C168&amp;" Antworten"</f>
        <v>64 Antworten</v>
      </c>
      <c r="E168" s="81"/>
      <c r="G168" s="3" t="s">
        <v>50</v>
      </c>
      <c r="H168" s="110" t="str">
        <f>'Basis f1'!G168&amp;" Antworten"</f>
        <v>61 Antworten</v>
      </c>
      <c r="I168" s="81"/>
      <c r="K168" s="19"/>
    </row>
    <row r="169" spans="2:14" x14ac:dyDescent="0.25">
      <c r="B169" s="30" t="s">
        <v>196</v>
      </c>
      <c r="D169" s="78">
        <f>COUNTIFS(tba,B169,SuchSpalte,AuswahlFilter1)/IF(Prozent=TRUE,'Basis f1'!$C$168,1)</f>
        <v>0.234375</v>
      </c>
      <c r="E169" s="78" t="str">
        <f>IF(COUNTIFS(tba,B169,SuchSpalte,AuswahlFilter2)=1,"X","")</f>
        <v/>
      </c>
      <c r="G169" s="30" t="s">
        <v>196</v>
      </c>
      <c r="H169" s="78">
        <f>COUNTIFS(tbb,G169,SuchSpalte,AuswahlFilter1)/IF(Prozent=TRUE,'Basis f1'!$G$168,1)</f>
        <v>0</v>
      </c>
      <c r="I169" s="78" t="str">
        <f>IF(COUNTIFS(tbc,G169,SuchSpalte,AuswahlFilter2)=1,"X","")</f>
        <v/>
      </c>
      <c r="J169" s="30"/>
      <c r="L169" s="11"/>
      <c r="M169" s="11"/>
      <c r="N169" s="2"/>
    </row>
    <row r="170" spans="2:14" x14ac:dyDescent="0.25">
      <c r="B170" s="30" t="s">
        <v>197</v>
      </c>
      <c r="D170" s="78">
        <f>COUNTIFS(tba,B170,SuchSpalte,AuswahlFilter1)/IF(Prozent=TRUE,'Basis f1'!$C$168,1)</f>
        <v>1.5625E-2</v>
      </c>
      <c r="E170" s="79" t="str">
        <f>IF(COUNTIFS(tba,B170,SuchSpalte,AuswahlFilter2)=1,"X","")</f>
        <v/>
      </c>
      <c r="G170" s="30" t="s">
        <v>197</v>
      </c>
      <c r="H170" s="78">
        <f>COUNTIFS(tbb,G170,SuchSpalte,AuswahlFilter1)/IF(Prozent=TRUE,'Basis f1'!$G$168,1)</f>
        <v>1.6393442622950821E-2</v>
      </c>
      <c r="I170" s="79" t="str">
        <f>IF(COUNTIFS(tbc,G170,SuchSpalte,AuswahlFilter2)=1,"X","")</f>
        <v/>
      </c>
      <c r="J170" s="30"/>
      <c r="L170" s="11"/>
      <c r="M170" s="11"/>
      <c r="N170" s="2"/>
    </row>
    <row r="171" spans="2:14" x14ac:dyDescent="0.25">
      <c r="B171" s="30" t="s">
        <v>198</v>
      </c>
      <c r="D171" s="78">
        <f>COUNTIFS(tba,B171,SuchSpalte,AuswahlFilter1)/IF(Prozent=TRUE,'Basis f1'!$C$168,1)</f>
        <v>6.25E-2</v>
      </c>
      <c r="E171" s="79" t="str">
        <f>IF(COUNTIFS(tba,B171,SuchSpalte,AuswahlFilter2)=1,"X","")</f>
        <v/>
      </c>
      <c r="G171" s="30" t="s">
        <v>198</v>
      </c>
      <c r="H171" s="78">
        <f>COUNTIFS(tbb,G171,SuchSpalte,AuswahlFilter1)/IF(Prozent=TRUE,'Basis f1'!$G$168,1)</f>
        <v>3.2786885245901641E-2</v>
      </c>
      <c r="I171" s="79" t="str">
        <f>IF(COUNTIFS(tbc,G171,SuchSpalte,AuswahlFilter2)=1,"X","")</f>
        <v/>
      </c>
      <c r="J171" s="30"/>
      <c r="L171" s="11"/>
      <c r="M171" s="11"/>
      <c r="N171" s="2"/>
    </row>
    <row r="172" spans="2:14" x14ac:dyDescent="0.25">
      <c r="B172" s="30" t="s">
        <v>199</v>
      </c>
      <c r="D172" s="78">
        <f>COUNTIFS(tba,B172,SuchSpalte,AuswahlFilter1)/IF(Prozent=TRUE,'Basis f1'!$C$168,1)</f>
        <v>0.34375</v>
      </c>
      <c r="E172" s="79" t="str">
        <f>IF(COUNTIFS(tba,B172,SuchSpalte,AuswahlFilter2)=1,"X","")</f>
        <v/>
      </c>
      <c r="G172" s="30" t="s">
        <v>199</v>
      </c>
      <c r="H172" s="78">
        <f>COUNTIFS(tbb,G172,SuchSpalte,AuswahlFilter1)/IF(Prozent=TRUE,'Basis f1'!$G$168,1)</f>
        <v>0.47540983606557374</v>
      </c>
      <c r="I172" s="79" t="str">
        <f>IF(COUNTIFS(tbc,G172,SuchSpalte,AuswahlFilter2)=1,"X","")</f>
        <v/>
      </c>
      <c r="J172" s="30"/>
      <c r="L172" s="11"/>
      <c r="M172" s="11"/>
      <c r="N172" s="2"/>
    </row>
    <row r="173" spans="2:14" ht="17.25" customHeight="1" x14ac:dyDescent="0.25">
      <c r="B173" s="162" t="s">
        <v>200</v>
      </c>
      <c r="C173" s="162"/>
      <c r="D173" s="78">
        <f>COUNTIFS(tba,B173,SuchSpalte,AuswahlFilter1)/IF(Prozent=TRUE,'Basis f1'!$C$168,1)</f>
        <v>0.34375</v>
      </c>
      <c r="E173" s="79" t="str">
        <f>IF(COUNTIFS(tba,B173,SuchSpalte,AuswahlFilter2)=1,"X","")</f>
        <v/>
      </c>
      <c r="G173" s="9" t="s">
        <v>200</v>
      </c>
      <c r="H173" s="78">
        <f>COUNTIFS(tbb,G173,SuchSpalte,AuswahlFilter1)/IF(Prozent=TRUE,'Basis f1'!$G$168,1)</f>
        <v>0.47540983606557374</v>
      </c>
      <c r="I173" s="79" t="str">
        <f>IF(COUNTIFS(tbc,G173,SuchSpalte,AuswahlFilter2)=1,"X","")</f>
        <v/>
      </c>
      <c r="J173" s="30"/>
      <c r="L173" s="11"/>
      <c r="M173" s="11"/>
      <c r="N173" s="2"/>
    </row>
    <row r="174" spans="2:14" x14ac:dyDescent="0.25">
      <c r="I174" s="11"/>
      <c r="J174" s="11"/>
      <c r="L174" s="11"/>
      <c r="M174" s="11"/>
      <c r="N174" s="2"/>
    </row>
    <row r="175" spans="2:14" x14ac:dyDescent="0.25">
      <c r="I175" s="11"/>
      <c r="J175" s="11"/>
      <c r="L175" s="11"/>
      <c r="M175" s="11"/>
      <c r="N175" s="2"/>
    </row>
    <row r="176" spans="2:14" ht="34.5" customHeight="1" x14ac:dyDescent="0.25">
      <c r="B176" s="163" t="s">
        <v>1639</v>
      </c>
      <c r="C176" s="163"/>
      <c r="D176" s="163"/>
      <c r="E176" s="163"/>
      <c r="F176" s="163"/>
      <c r="G176" s="163"/>
      <c r="H176" s="163"/>
      <c r="I176" s="163"/>
      <c r="J176" s="163"/>
      <c r="K176" s="33"/>
      <c r="L176" s="8"/>
      <c r="M176" s="8"/>
      <c r="N176" s="2"/>
    </row>
    <row r="177" spans="1:15" x14ac:dyDescent="0.25">
      <c r="B177" s="3"/>
      <c r="C177" s="3"/>
      <c r="D177" s="110" t="str">
        <f>'Basis f1'!C177&amp;" Antworten"</f>
        <v>145 Antworten</v>
      </c>
      <c r="E177" s="11"/>
      <c r="I177" s="11"/>
      <c r="J177" s="11"/>
      <c r="L177" s="11"/>
      <c r="M177" s="11"/>
    </row>
    <row r="178" spans="1:15" x14ac:dyDescent="0.25">
      <c r="B178" s="11" t="s">
        <v>201</v>
      </c>
      <c r="D178" s="78">
        <f>(COUNTIFS(tbc,B178,SuchSpalte,AuswahlFilter1)+COUNTIFS(tbg,B178,SuchSpalte,AuswahlFilter1)+COUNTIFS(tbk,B178,SuchSpalte,AuswahlFilter1))/IF(Prozent=TRUE,'Basis f1'!$C$177,1)</f>
        <v>0.19310344827586207</v>
      </c>
      <c r="E178" s="78" t="str">
        <f t="shared" ref="E178:E184" si="9">IF(COUNTIFS(tbc,B178,SuchSpalte,AuswahlFilter2)=1,"X",IF(COUNTIFS(tbg,B178,SuchSpalte,AuswahlFilter2)=1,"X",IF(COUNTIFS(tbk,B178,SuchSpalte,AuswahlFilter2)=1,"X","")))</f>
        <v/>
      </c>
      <c r="I178" s="11"/>
      <c r="J178" s="11"/>
      <c r="L178" s="11"/>
      <c r="M178" s="11"/>
      <c r="O178" s="111"/>
    </row>
    <row r="179" spans="1:15" x14ac:dyDescent="0.25">
      <c r="B179" s="11" t="s">
        <v>202</v>
      </c>
      <c r="D179" s="78">
        <f>(COUNTIFS(tbc,B179,SuchSpalte,AuswahlFilter1)+COUNTIFS(tbg,B179,SuchSpalte,AuswahlFilter1)+COUNTIFS(tbk,B179,SuchSpalte,AuswahlFilter1))/IF(Prozent=TRUE,'Basis f1'!$C$177,1)</f>
        <v>0.40689655172413791</v>
      </c>
      <c r="E179" s="79" t="str">
        <f t="shared" si="9"/>
        <v/>
      </c>
      <c r="I179" s="11"/>
      <c r="J179" s="11"/>
      <c r="L179" s="11"/>
      <c r="M179" s="11"/>
      <c r="O179" s="111"/>
    </row>
    <row r="180" spans="1:15" x14ac:dyDescent="0.25">
      <c r="B180" s="11" t="s">
        <v>203</v>
      </c>
      <c r="D180" s="78">
        <f>(COUNTIFS(tbc,B180,SuchSpalte,AuswahlFilter1)+COUNTIFS(tbg,B180,SuchSpalte,AuswahlFilter1)+COUNTIFS(tbk,B180,SuchSpalte,AuswahlFilter1))/IF(Prozent=TRUE,'Basis f1'!$C$177,1)</f>
        <v>4.1379310344827586E-2</v>
      </c>
      <c r="E180" s="79" t="str">
        <f t="shared" si="9"/>
        <v/>
      </c>
      <c r="I180" s="11"/>
      <c r="J180" s="11"/>
      <c r="L180" s="11"/>
      <c r="M180" s="11"/>
      <c r="O180" s="111"/>
    </row>
    <row r="181" spans="1:15" x14ac:dyDescent="0.25">
      <c r="B181" s="11" t="s">
        <v>204</v>
      </c>
      <c r="D181" s="78">
        <f>(COUNTIFS(tbc,B181,SuchSpalte,AuswahlFilter1)+COUNTIFS(tbg,B181,SuchSpalte,AuswahlFilter1)+COUNTIFS(tbk,B181,SuchSpalte,AuswahlFilter1))/IF(Prozent=TRUE,'Basis f1'!$C$177,1)</f>
        <v>0</v>
      </c>
      <c r="E181" s="79" t="str">
        <f t="shared" si="9"/>
        <v/>
      </c>
      <c r="I181" s="20"/>
      <c r="J181" s="11"/>
      <c r="L181" s="11"/>
      <c r="M181" s="11"/>
      <c r="O181" s="111"/>
    </row>
    <row r="182" spans="1:15" x14ac:dyDescent="0.25">
      <c r="B182" s="11" t="s">
        <v>205</v>
      </c>
      <c r="D182" s="78">
        <f>(COUNTIFS(tbc,B182,SuchSpalte,AuswahlFilter1)+COUNTIFS(tbg,B182,SuchSpalte,AuswahlFilter1)+COUNTIFS(tbk,B182,SuchSpalte,AuswahlFilter1))/IF(Prozent=TRUE,'Basis f1'!$C$177,1)</f>
        <v>0.1310344827586207</v>
      </c>
      <c r="E182" s="79" t="str">
        <f t="shared" si="9"/>
        <v/>
      </c>
      <c r="I182" s="11"/>
      <c r="J182" s="11"/>
      <c r="L182" s="11"/>
      <c r="M182" s="11"/>
      <c r="O182" s="111"/>
    </row>
    <row r="183" spans="1:15" x14ac:dyDescent="0.25">
      <c r="B183" s="11" t="s">
        <v>206</v>
      </c>
      <c r="D183" s="78">
        <f>(COUNTIFS(tbc,B183,SuchSpalte,AuswahlFilter1)+COUNTIFS(tbg,B183,SuchSpalte,AuswahlFilter1)+COUNTIFS(tbk,B183,SuchSpalte,AuswahlFilter1))/IF(Prozent=TRUE,'Basis f1'!$C$177,1)</f>
        <v>0.17241379310344829</v>
      </c>
      <c r="E183" s="79" t="str">
        <f t="shared" si="9"/>
        <v/>
      </c>
      <c r="I183" s="11"/>
      <c r="J183" s="11"/>
      <c r="L183" s="11"/>
      <c r="M183" s="11"/>
      <c r="O183" s="111"/>
    </row>
    <row r="184" spans="1:15" x14ac:dyDescent="0.25">
      <c r="B184" s="11" t="s">
        <v>207</v>
      </c>
      <c r="D184" s="78">
        <f>(COUNTIFS(tbc,B184,SuchSpalte,AuswahlFilter1)+COUNTIFS(tbg,B184,SuchSpalte,AuswahlFilter1)+COUNTIFS(tbk,B184,SuchSpalte,AuswahlFilter1))/IF(Prozent=TRUE,'Basis f1'!$C$177,1)</f>
        <v>5.5172413793103448E-2</v>
      </c>
      <c r="E184" s="79" t="str">
        <f t="shared" si="9"/>
        <v/>
      </c>
      <c r="I184" s="11"/>
      <c r="J184" s="11"/>
      <c r="L184" s="11"/>
      <c r="M184" s="11"/>
      <c r="O184" s="111"/>
    </row>
    <row r="185" spans="1:15" x14ac:dyDescent="0.25">
      <c r="B185" s="21"/>
      <c r="D185" s="70"/>
      <c r="E185" s="71"/>
      <c r="G185" s="21"/>
      <c r="I185" s="21"/>
      <c r="J185" s="11"/>
      <c r="L185" s="11"/>
      <c r="M185" s="11"/>
    </row>
    <row r="186" spans="1:15" x14ac:dyDescent="0.25">
      <c r="B186" s="3" t="s">
        <v>1646</v>
      </c>
      <c r="C186" s="3"/>
      <c r="D186" s="3"/>
      <c r="E186" s="63"/>
      <c r="G186" s="21"/>
      <c r="I186" s="21"/>
      <c r="J186" s="11"/>
      <c r="L186" s="11"/>
      <c r="M186" s="11"/>
    </row>
    <row r="187" spans="1:15" s="21" customFormat="1" x14ac:dyDescent="0.25">
      <c r="A187" s="30"/>
      <c r="B187" s="3"/>
      <c r="C187" s="3"/>
      <c r="D187" s="3"/>
      <c r="E187" s="63"/>
      <c r="F187" s="30"/>
      <c r="H187" s="30"/>
      <c r="K187" s="1"/>
      <c r="N187" s="30"/>
    </row>
    <row r="188" spans="1:15" s="3" customFormat="1" x14ac:dyDescent="0.25">
      <c r="B188" s="3" t="s">
        <v>56</v>
      </c>
      <c r="E188" s="66"/>
      <c r="G188" s="17" t="s">
        <v>57</v>
      </c>
      <c r="K188" s="19"/>
    </row>
    <row r="189" spans="1:15" s="3" customFormat="1" x14ac:dyDescent="0.25">
      <c r="D189" s="110" t="str">
        <f>'Basis f1'!C189&amp;" Antworten"</f>
        <v>85 Antworten</v>
      </c>
      <c r="E189" s="66"/>
      <c r="G189" s="17"/>
      <c r="H189" s="110" t="str">
        <f>'Basis f1'!G189&amp;" Antworten"</f>
        <v>63 Antworten</v>
      </c>
      <c r="K189" s="19"/>
    </row>
    <row r="190" spans="1:15" x14ac:dyDescent="0.25">
      <c r="B190" s="21" t="s">
        <v>104</v>
      </c>
      <c r="D190" s="78">
        <f>COUNTIFS(tbo,B190,SuchSpalte,AuswahlFilter1)/IF(Prozent=TRUE,'Basis f1'!$C$189,1)</f>
        <v>2.3529411764705882E-2</v>
      </c>
      <c r="E190" s="78" t="str">
        <f>IF(COUNTIFS(tbo,B190,SuchSpalte,AuswahlFilter2)=1,"X","")</f>
        <v/>
      </c>
      <c r="G190" s="21" t="s">
        <v>104</v>
      </c>
      <c r="H190" s="78">
        <f>COUNTIFS(tbp,G190,SuchSpalte,AuswahlFilter1)/IF(Prozent=TRUE,'Basis f1'!$G$189,1)</f>
        <v>0.84126984126984128</v>
      </c>
      <c r="I190" s="78" t="str">
        <f>IF(COUNTIFS(tbp,G190,SuchSpalte,AuswahlFilter2)=1,"X","")</f>
        <v/>
      </c>
      <c r="J190" s="30"/>
    </row>
    <row r="191" spans="1:15" x14ac:dyDescent="0.25">
      <c r="B191" s="21" t="s">
        <v>208</v>
      </c>
      <c r="D191" s="78">
        <f>COUNTIFS(tbo,B191,SuchSpalte,AuswahlFilter1)/IF(Prozent=TRUE,'Basis f1'!$C$189,1)</f>
        <v>9.4117647058823528E-2</v>
      </c>
      <c r="E191" s="79" t="str">
        <f>IF(COUNTIFS(tbo,B191,SuchSpalte,AuswahlFilter2)=1,"X","")</f>
        <v/>
      </c>
      <c r="G191" s="21" t="s">
        <v>208</v>
      </c>
      <c r="H191" s="78">
        <f>COUNTIFS(tbp,G191,SuchSpalte,AuswahlFilter1)/IF(Prozent=TRUE,'Basis f1'!$G$189,1)</f>
        <v>0.12698412698412698</v>
      </c>
      <c r="I191" s="79" t="str">
        <f>IF(COUNTIFS(tbp,G191,SuchSpalte,AuswahlFilter2)=1,"X","")</f>
        <v/>
      </c>
      <c r="J191" s="30"/>
    </row>
    <row r="192" spans="1:15" x14ac:dyDescent="0.25">
      <c r="B192" s="21" t="s">
        <v>209</v>
      </c>
      <c r="D192" s="78">
        <f>COUNTIFS(tbo,B192,SuchSpalte,AuswahlFilter1)/IF(Prozent=TRUE,'Basis f1'!$C$189,1)</f>
        <v>0.52941176470588236</v>
      </c>
      <c r="E192" s="79" t="str">
        <f>IF(COUNTIFS(tbo,B192,SuchSpalte,AuswahlFilter2)=1,"X","")</f>
        <v/>
      </c>
      <c r="G192" s="21" t="s">
        <v>209</v>
      </c>
      <c r="H192" s="78">
        <f>COUNTIFS(tbp,G192,SuchSpalte,AuswahlFilter1)/IF(Prozent=TRUE,'Basis f1'!$G$189,1)</f>
        <v>3.1746031746031744E-2</v>
      </c>
      <c r="I192" s="79" t="str">
        <f>IF(COUNTIFS(tbp,G192,SuchSpalte,AuswahlFilter2)=1,"X","")</f>
        <v/>
      </c>
      <c r="J192" s="30"/>
    </row>
    <row r="193" spans="2:14" x14ac:dyDescent="0.25">
      <c r="B193" s="21" t="s">
        <v>210</v>
      </c>
      <c r="D193" s="78">
        <f>COUNTIFS(tbo,B193,SuchSpalte,AuswahlFilter1)/IF(Prozent=TRUE,'Basis f1'!$C$189,1)</f>
        <v>0.35294117647058826</v>
      </c>
      <c r="E193" s="79" t="str">
        <f>IF(COUNTIFS(tbo,B193,SuchSpalte,AuswahlFilter2)=1,"X","")</f>
        <v/>
      </c>
      <c r="G193" s="21" t="s">
        <v>210</v>
      </c>
      <c r="H193" s="78">
        <f>COUNTIFS(tbp,G193,SuchSpalte,AuswahlFilter1)/IF(Prozent=TRUE,'Basis f1'!$G$189,1)</f>
        <v>0</v>
      </c>
      <c r="I193" s="79" t="str">
        <f>IF(COUNTIFS(tbp,G193,SuchSpalte,AuswahlFilter2)=1,"X","")</f>
        <v/>
      </c>
      <c r="J193" s="30"/>
      <c r="N193" s="2"/>
    </row>
    <row r="194" spans="2:14" x14ac:dyDescent="0.25">
      <c r="B194" s="21"/>
      <c r="E194" s="21"/>
      <c r="G194" s="21"/>
      <c r="I194" s="21"/>
      <c r="N194" s="2"/>
    </row>
    <row r="195" spans="2:14" x14ac:dyDescent="0.25">
      <c r="B195" s="21"/>
      <c r="E195" s="21"/>
      <c r="G195" s="21"/>
      <c r="I195" s="21"/>
      <c r="N195" s="2"/>
    </row>
    <row r="196" spans="2:14" s="3" customFormat="1" x14ac:dyDescent="0.25">
      <c r="B196" s="3" t="s">
        <v>58</v>
      </c>
      <c r="K196" s="19"/>
    </row>
    <row r="197" spans="2:14" s="3" customFormat="1" x14ac:dyDescent="0.25">
      <c r="D197" s="110" t="str">
        <f>'Basis f1'!C197&amp;" Antworten"</f>
        <v>78 Antworten</v>
      </c>
      <c r="K197" s="19"/>
    </row>
    <row r="198" spans="2:14" x14ac:dyDescent="0.25">
      <c r="B198" s="21" t="s">
        <v>104</v>
      </c>
      <c r="D198" s="78">
        <f>COUNTIFS(tbq,B198,SuchSpalte,AuswahlFilter1)/IF(Prozent=TRUE,'Basis f1'!$C$197,1)</f>
        <v>0.11538461538461539</v>
      </c>
      <c r="E198" s="78" t="str">
        <f>IF(COUNTIFS(tbq,B190,SuchSpalte,AuswahlFilter2)=1,"X","")</f>
        <v/>
      </c>
      <c r="G198" s="21"/>
      <c r="I198" s="21"/>
      <c r="N198" s="2"/>
    </row>
    <row r="199" spans="2:14" x14ac:dyDescent="0.25">
      <c r="B199" s="21" t="s">
        <v>208</v>
      </c>
      <c r="D199" s="78">
        <f>COUNTIFS(tbq,B199,SuchSpalte,AuswahlFilter1)/IF(Prozent=TRUE,'Basis f1'!$C$197,1)</f>
        <v>0.55128205128205132</v>
      </c>
      <c r="E199" s="79" t="str">
        <f>IF(COUNTIFS(tbq,B191,SuchSpalte,AuswahlFilter2)=1,"X","")</f>
        <v/>
      </c>
      <c r="G199" s="21"/>
      <c r="I199" s="21"/>
      <c r="N199" s="2"/>
    </row>
    <row r="200" spans="2:14" x14ac:dyDescent="0.25">
      <c r="B200" s="21" t="s">
        <v>209</v>
      </c>
      <c r="D200" s="78">
        <f>COUNTIFS(tbq,B200,SuchSpalte,AuswahlFilter1)/IF(Prozent=TRUE,'Basis f1'!$C$197,1)</f>
        <v>0.32051282051282054</v>
      </c>
      <c r="E200" s="79" t="str">
        <f>IF(COUNTIFS(tbq,B192,SuchSpalte,AuswahlFilter2)=1,"X","")</f>
        <v/>
      </c>
      <c r="G200" s="21"/>
      <c r="I200" s="21"/>
      <c r="N200" s="2"/>
    </row>
    <row r="201" spans="2:14" x14ac:dyDescent="0.25">
      <c r="B201" s="21" t="s">
        <v>210</v>
      </c>
      <c r="D201" s="78">
        <f>COUNTIFS(tbq,B201,SuchSpalte,AuswahlFilter1)/IF(Prozent=TRUE,'Basis f1'!$C$197,1)</f>
        <v>1.282051282051282E-2</v>
      </c>
      <c r="E201" s="79" t="str">
        <f>IF(COUNTIFS(tbq,B193,SuchSpalte,AuswahlFilter2)=1,"X","")</f>
        <v/>
      </c>
      <c r="G201" s="21"/>
      <c r="I201" s="21"/>
      <c r="N201" s="2"/>
    </row>
    <row r="202" spans="2:14" x14ac:dyDescent="0.25">
      <c r="B202" s="21"/>
      <c r="E202" s="21"/>
      <c r="G202" s="21"/>
      <c r="I202" s="21"/>
      <c r="N202" s="2"/>
    </row>
    <row r="203" spans="2:14" x14ac:dyDescent="0.25">
      <c r="B203" s="3" t="s">
        <v>1647</v>
      </c>
      <c r="C203" s="3"/>
      <c r="D203" s="3"/>
      <c r="N203" s="2"/>
    </row>
    <row r="204" spans="2:14" s="30" customFormat="1" x14ac:dyDescent="0.25">
      <c r="B204" s="3"/>
      <c r="C204" s="3"/>
      <c r="D204" s="110" t="str">
        <f>'Basis f1'!C204&amp;" Antworten"</f>
        <v>85 Antworten</v>
      </c>
      <c r="K204" s="1"/>
    </row>
    <row r="205" spans="2:14" x14ac:dyDescent="0.25">
      <c r="B205" s="2" t="s">
        <v>33</v>
      </c>
      <c r="D205" s="78">
        <f>COUNTIFS(tbr,B205,SuchSpalte,AuswahlFilter1)/IF(Prozent=TRUE,'Basis f1'!$C$204,1)</f>
        <v>0.72941176470588232</v>
      </c>
      <c r="E205" s="78" t="str">
        <f>IF(COUNTIFS(tbr,B205,SuchSpalte,AuswahlFilter2)=1,"X","")</f>
        <v/>
      </c>
      <c r="N205" s="2"/>
    </row>
    <row r="206" spans="2:14" x14ac:dyDescent="0.25">
      <c r="B206" s="2" t="s">
        <v>39</v>
      </c>
      <c r="D206" s="78">
        <f>COUNTIFS(tbr,B206,SuchSpalte,AuswahlFilter1)/IF(Prozent=TRUE,'Basis f1'!$C$204,1)</f>
        <v>0.27058823529411763</v>
      </c>
      <c r="E206" s="79" t="str">
        <f>IF(COUNTIFS(tbr,B206,SuchSpalte,AuswahlFilter2)=1,"X","")</f>
        <v/>
      </c>
      <c r="N206" s="2"/>
    </row>
    <row r="207" spans="2:14" x14ac:dyDescent="0.25">
      <c r="D207" s="6"/>
      <c r="E207" s="6"/>
      <c r="N207" s="2"/>
    </row>
    <row r="209" spans="2:15" ht="32.25" customHeight="1" x14ac:dyDescent="0.25">
      <c r="B209" s="163" t="s">
        <v>1648</v>
      </c>
      <c r="C209" s="163"/>
      <c r="D209" s="163"/>
      <c r="E209" s="163"/>
      <c r="F209" s="163"/>
      <c r="G209" s="163"/>
      <c r="H209" s="163"/>
      <c r="I209" s="163"/>
      <c r="J209" s="163"/>
      <c r="L209" s="8"/>
      <c r="M209" s="8"/>
    </row>
    <row r="210" spans="2:15" s="30" customFormat="1" ht="12.75" customHeight="1" x14ac:dyDescent="0.25">
      <c r="B210" s="108"/>
      <c r="C210" s="108"/>
      <c r="D210" s="108"/>
      <c r="E210" s="108"/>
      <c r="F210" s="108"/>
      <c r="G210" s="108"/>
      <c r="H210" s="110" t="str">
        <f>'Basis f1'!G210&amp;" Antworten"</f>
        <v>132 Antworten</v>
      </c>
      <c r="I210" s="108"/>
      <c r="J210" s="108"/>
      <c r="K210" s="1"/>
      <c r="L210" s="108"/>
      <c r="M210" s="108"/>
    </row>
    <row r="211" spans="2:15" x14ac:dyDescent="0.25">
      <c r="B211" s="23" t="s">
        <v>61</v>
      </c>
      <c r="C211" s="31"/>
      <c r="D211" s="31"/>
      <c r="E211" s="22"/>
      <c r="G211" s="22"/>
      <c r="H211" s="78">
        <f>COUNTIFS(tbs,TRUE,SuchSpalte,AuswahlFilter1)/IF(Prozent=TRUE,'Basis f1'!$G$210,1)</f>
        <v>0.12878787878787878</v>
      </c>
      <c r="I211" s="78" t="str">
        <f>IF(COUNTIFS(tbs,TRUE,SuchSpalte,AuswahlFilter2)=1,"X","")</f>
        <v/>
      </c>
      <c r="O211" s="111"/>
    </row>
    <row r="212" spans="2:15" x14ac:dyDescent="0.25">
      <c r="B212" s="24" t="s">
        <v>1649</v>
      </c>
      <c r="C212" s="24"/>
      <c r="D212" s="24"/>
      <c r="E212" s="22"/>
      <c r="G212" s="22"/>
      <c r="H212" s="79">
        <f>COUNTIFS(tbt,TRUE,SuchSpalte,AuswahlFilter1)/IF(Prozent=TRUE,'Basis f1'!$G$210,1)</f>
        <v>6.0606060606060608E-2</v>
      </c>
      <c r="I212" s="79" t="str">
        <f>IF(COUNTIFS(tbt,TRUE,SuchSpalte,AuswahlFilter2)=1,"X","")</f>
        <v/>
      </c>
      <c r="O212" s="111"/>
    </row>
    <row r="213" spans="2:15" ht="29.25" customHeight="1" x14ac:dyDescent="0.25">
      <c r="B213" s="160" t="s">
        <v>63</v>
      </c>
      <c r="C213" s="160"/>
      <c r="D213" s="160"/>
      <c r="E213" s="160"/>
      <c r="F213" s="160"/>
      <c r="G213" s="160"/>
      <c r="H213" s="79">
        <f>COUNTIFS(tbu,TRUE,SuchSpalte,AuswahlFilter1)/IF(Prozent=TRUE,'Basis f1'!$G$210,1)</f>
        <v>2.2727272727272728E-2</v>
      </c>
      <c r="I213" s="79" t="str">
        <f>IF(COUNTIFS(tbu,TRUE,SuchSpalte,AuswahlFilter2)=1,"X","")</f>
        <v/>
      </c>
      <c r="O213" s="111"/>
    </row>
    <row r="214" spans="2:15" x14ac:dyDescent="0.25">
      <c r="B214" s="24" t="s">
        <v>64</v>
      </c>
      <c r="C214" s="24"/>
      <c r="D214" s="24"/>
      <c r="E214" s="22"/>
      <c r="G214" s="22"/>
      <c r="H214" s="79">
        <f>COUNTIFS(tbv,TRUE,SuchSpalte,AuswahlFilter1)/IF(Prozent=TRUE,'Basis f1'!$G$210,1)</f>
        <v>0.12121212121212122</v>
      </c>
      <c r="I214" s="79" t="str">
        <f>IF(COUNTIFS(tbv,TRUE,SuchSpalte,AuswahlFilter2)=1,"X","")</f>
        <v/>
      </c>
      <c r="J214" s="11"/>
      <c r="L214" s="11"/>
      <c r="M214" s="11"/>
      <c r="O214" s="111"/>
    </row>
    <row r="215" spans="2:15" x14ac:dyDescent="0.25">
      <c r="B215" s="24" t="s">
        <v>65</v>
      </c>
      <c r="C215" s="24"/>
      <c r="D215" s="24"/>
      <c r="E215" s="22"/>
      <c r="G215" s="22"/>
      <c r="H215" s="79">
        <f>COUNTIFS(tbw,TRUE,SuchSpalte,AuswahlFilter1)/IF(Prozent=TRUE,'Basis f1'!$G$210,1)</f>
        <v>8.3333333333333329E-2</v>
      </c>
      <c r="I215" s="79" t="str">
        <f>IF(COUNTIFS(tbw,TRUE,SuchSpalte,AuswahlFilter2)=1,"X","")</f>
        <v/>
      </c>
      <c r="J215" s="11"/>
      <c r="L215" s="11"/>
      <c r="M215" s="11"/>
      <c r="O215" s="111"/>
    </row>
    <row r="216" spans="2:15" x14ac:dyDescent="0.25">
      <c r="B216" s="24" t="s">
        <v>66</v>
      </c>
      <c r="C216" s="24"/>
      <c r="D216" s="24"/>
      <c r="E216" s="22"/>
      <c r="G216" s="22"/>
      <c r="H216" s="79">
        <f>COUNTIFS(tbx,TRUE,SuchSpalte,AuswahlFilter1)/IF(Prozent=TRUE,'Basis f1'!$G$210,1)</f>
        <v>2.2727272727272728E-2</v>
      </c>
      <c r="I216" s="79" t="str">
        <f>IF(COUNTIFS(tbx,TRUE,SuchSpalte,AuswahlFilter2)=1,"X","")</f>
        <v/>
      </c>
      <c r="J216" s="11"/>
      <c r="L216" s="11"/>
      <c r="M216" s="11"/>
      <c r="O216" s="111"/>
    </row>
    <row r="217" spans="2:15" x14ac:dyDescent="0.25">
      <c r="B217" s="24" t="s">
        <v>67</v>
      </c>
      <c r="C217" s="24"/>
      <c r="D217" s="24"/>
      <c r="E217" s="22"/>
      <c r="G217" s="22"/>
      <c r="H217" s="79">
        <f>COUNTIFS(tby,TRUE,SuchSpalte,AuswahlFilter1)/IF(Prozent=TRUE,'Basis f1'!$G$210,1)</f>
        <v>3.0303030303030304E-2</v>
      </c>
      <c r="I217" s="79" t="str">
        <f>IF(COUNTIFS(tby,TRUE,SuchSpalte,AuswahlFilter2)=1,"X","")</f>
        <v/>
      </c>
      <c r="J217" s="11"/>
      <c r="L217" s="11"/>
      <c r="M217" s="11"/>
      <c r="O217" s="111"/>
    </row>
    <row r="218" spans="2:15" x14ac:dyDescent="0.25">
      <c r="B218" s="24" t="s">
        <v>68</v>
      </c>
      <c r="C218" s="24"/>
      <c r="D218" s="24"/>
      <c r="E218" s="22"/>
      <c r="G218" s="22"/>
      <c r="H218" s="79">
        <f>COUNTIFS(tbz,TRUE,SuchSpalte,AuswahlFilter1)/IF(Prozent=TRUE,'Basis f1'!$G$210,1)</f>
        <v>7.575757575757576E-3</v>
      </c>
      <c r="I218" s="79" t="str">
        <f>IF(COUNTIFS(tbz,TRUE,SuchSpalte,AuswahlFilter2)=1,"X","")</f>
        <v/>
      </c>
      <c r="J218" s="11"/>
      <c r="L218" s="11"/>
      <c r="M218" s="11"/>
      <c r="O218" s="111"/>
    </row>
    <row r="219" spans="2:15" x14ac:dyDescent="0.25">
      <c r="B219" s="22" t="s">
        <v>39</v>
      </c>
      <c r="E219" s="22"/>
      <c r="G219" s="22"/>
      <c r="H219" s="79">
        <f>COUNTIFS(tca,TRUE,SuchSpalte,AuswahlFilter1)/IF(Prozent=TRUE,'Basis f1'!$G$210,1)</f>
        <v>0.52272727272727271</v>
      </c>
      <c r="I219" s="79" t="str">
        <f>IF(COUNTIFS(tca,TRUE,SuchSpalte,AuswahlFilter2)=1,"X","")</f>
        <v/>
      </c>
      <c r="J219" s="11"/>
      <c r="L219" s="11"/>
      <c r="M219" s="11"/>
      <c r="O219" s="111"/>
    </row>
    <row r="220" spans="2:15" x14ac:dyDescent="0.25">
      <c r="B220" s="22"/>
      <c r="E220" s="22"/>
      <c r="G220" s="22"/>
      <c r="H220" s="6"/>
      <c r="I220" s="6"/>
      <c r="J220" s="11"/>
      <c r="L220" s="11"/>
      <c r="M220" s="11"/>
    </row>
    <row r="221" spans="2:15" ht="30" customHeight="1" x14ac:dyDescent="0.25">
      <c r="B221" s="163" t="s">
        <v>1640</v>
      </c>
      <c r="C221" s="163"/>
      <c r="D221" s="163"/>
      <c r="E221" s="163"/>
      <c r="F221" s="163"/>
      <c r="G221" s="163"/>
      <c r="H221" s="163"/>
      <c r="I221" s="163"/>
      <c r="J221" s="163"/>
      <c r="L221" s="8"/>
      <c r="M221" s="8"/>
    </row>
    <row r="222" spans="2:15" s="30" customFormat="1" ht="30" customHeight="1" x14ac:dyDescent="0.25">
      <c r="B222" s="108"/>
      <c r="C222" s="108"/>
      <c r="D222" s="108"/>
      <c r="E222" s="108"/>
      <c r="F222" s="108"/>
      <c r="G222" s="108"/>
      <c r="H222" s="110" t="str">
        <f>'Basis f1'!G222&amp;" Antworten"</f>
        <v>93 Antworten</v>
      </c>
      <c r="I222" s="108"/>
      <c r="J222" s="108"/>
      <c r="K222" s="1"/>
      <c r="L222" s="108"/>
      <c r="M222" s="108"/>
    </row>
    <row r="223" spans="2:15" x14ac:dyDescent="0.25">
      <c r="B223" s="25" t="s">
        <v>71</v>
      </c>
      <c r="E223" s="25"/>
      <c r="G223" s="25"/>
      <c r="H223" s="78">
        <f>COUNTIFS(tcc,TRUE,SuchSpalte,AuswahlFilter1)/IF(Prozent=TRUE,'Basis f1'!$G$222,1)</f>
        <v>0.24731182795698925</v>
      </c>
      <c r="I223" s="78" t="str">
        <f>IF(COUNTIFS(tcc,TRUE,SuchSpalte,AuswahlFilter2)=1,"X","")</f>
        <v/>
      </c>
      <c r="J223" s="25"/>
      <c r="L223" s="25"/>
      <c r="M223" s="25"/>
    </row>
    <row r="224" spans="2:15" x14ac:dyDescent="0.25">
      <c r="B224" s="26" t="s">
        <v>72</v>
      </c>
      <c r="C224" s="26"/>
      <c r="D224" s="26"/>
      <c r="E224" s="25"/>
      <c r="G224" s="25"/>
      <c r="H224" s="79">
        <f>COUNTIFS(tcd,TRUE,SuchSpalte,AuswahlFilter1)/IF(Prozent=TRUE,'Basis f1'!$G$222,1)</f>
        <v>0.20430107526881722</v>
      </c>
      <c r="I224" s="79" t="str">
        <f>IF(COUNTIFS(tcd,TRUE,SuchSpalte,AuswahlFilter2)=1,"X","")</f>
        <v/>
      </c>
      <c r="J224" s="25"/>
      <c r="L224" s="25"/>
      <c r="M224" s="25"/>
    </row>
    <row r="225" spans="2:14" x14ac:dyDescent="0.25">
      <c r="B225" s="26" t="s">
        <v>73</v>
      </c>
      <c r="C225" s="26"/>
      <c r="D225" s="26"/>
      <c r="E225" s="25"/>
      <c r="G225" s="25"/>
      <c r="H225" s="79">
        <f>COUNTIFS(tce,TRUE,SuchSpalte,AuswahlFilter1)/IF(Prozent=TRUE,'Basis f1'!$G$222,1)</f>
        <v>4.3010752688172046E-2</v>
      </c>
      <c r="I225" s="79" t="str">
        <f>IF(COUNTIFS(tce,TRUE,SuchSpalte,AuswahlFilter2)=1,"X","")</f>
        <v/>
      </c>
      <c r="J225" s="25"/>
      <c r="L225" s="25"/>
      <c r="M225" s="25"/>
      <c r="N225" s="2"/>
    </row>
    <row r="226" spans="2:14" x14ac:dyDescent="0.25">
      <c r="B226" s="26" t="s">
        <v>74</v>
      </c>
      <c r="C226" s="26"/>
      <c r="D226" s="26"/>
      <c r="E226" s="25"/>
      <c r="G226" s="25"/>
      <c r="H226" s="79">
        <f>COUNTIFS(tcf,TRUE,SuchSpalte,AuswahlFilter1)/IF(Prozent=TRUE,'Basis f1'!$G$222,1)</f>
        <v>8.6021505376344093E-2</v>
      </c>
      <c r="I226" s="79" t="str">
        <f>IF(COUNTIFS(tcf,TRUE,SuchSpalte,AuswahlFilter2)=1,"X","")</f>
        <v/>
      </c>
      <c r="J226" s="25"/>
      <c r="L226" s="25"/>
      <c r="M226" s="25"/>
      <c r="N226" s="2"/>
    </row>
    <row r="227" spans="2:14" x14ac:dyDescent="0.25">
      <c r="B227" s="26" t="s">
        <v>75</v>
      </c>
      <c r="C227" s="26"/>
      <c r="D227" s="26"/>
      <c r="E227" s="25"/>
      <c r="G227" s="25"/>
      <c r="H227" s="79">
        <f>COUNTIFS(tcg,TRUE,SuchSpalte,AuswahlFilter1)/IF(Prozent=TRUE,'Basis f1'!$G$222,1)</f>
        <v>9.6774193548387094E-2</v>
      </c>
      <c r="I227" s="79" t="str">
        <f>IF(COUNTIFS(tcg,TRUE,SuchSpalte,AuswahlFilter2)=1,"X","")</f>
        <v/>
      </c>
      <c r="J227" s="25"/>
      <c r="L227" s="25"/>
      <c r="M227" s="25"/>
      <c r="N227" s="2"/>
    </row>
    <row r="228" spans="2:14" x14ac:dyDescent="0.25">
      <c r="B228" s="25" t="s">
        <v>76</v>
      </c>
      <c r="E228" s="25"/>
      <c r="G228" s="25"/>
      <c r="H228" s="79">
        <f>COUNTIFS(tch,TRUE,SuchSpalte,AuswahlFilter1)/IF(Prozent=TRUE,'Basis f1'!$G$222,1)</f>
        <v>5.3763440860215055E-2</v>
      </c>
      <c r="I228" s="79" t="str">
        <f>IF(COUNTIFS(tch,TRUE,SuchSpalte,AuswahlFilter2)=1,"X","")</f>
        <v/>
      </c>
      <c r="J228" s="25"/>
      <c r="L228" s="25"/>
      <c r="M228" s="25"/>
      <c r="N228" s="2"/>
    </row>
    <row r="229" spans="2:14" ht="27.75" customHeight="1" x14ac:dyDescent="0.25">
      <c r="B229" s="162" t="s">
        <v>77</v>
      </c>
      <c r="C229" s="162"/>
      <c r="D229" s="162"/>
      <c r="E229" s="162"/>
      <c r="F229" s="162"/>
      <c r="G229" s="162"/>
      <c r="H229" s="79">
        <f>COUNTIFS(tci,TRUE,SuchSpalte,AuswahlFilter1)/IF(Prozent=TRUE,'Basis f1'!$G$222,1)</f>
        <v>0.11827956989247312</v>
      </c>
      <c r="I229" s="79" t="str">
        <f>IF(COUNTIFS(tci,TRUE,SuchSpalte,AuswahlFilter2)=1,"X","")</f>
        <v/>
      </c>
      <c r="J229" s="25"/>
      <c r="L229" s="25"/>
      <c r="M229" s="25"/>
      <c r="N229" s="2"/>
    </row>
    <row r="230" spans="2:14" ht="30.75" customHeight="1" x14ac:dyDescent="0.25">
      <c r="B230" s="162" t="s">
        <v>1721</v>
      </c>
      <c r="C230" s="162"/>
      <c r="D230" s="162"/>
      <c r="E230" s="162"/>
      <c r="F230" s="162"/>
      <c r="G230" s="162"/>
      <c r="H230" s="79">
        <f>COUNTIFS(tcj,TRUE,SuchSpalte,AuswahlFilter1)/IF(Prozent=TRUE,'Basis f1'!$G$222,1)</f>
        <v>8.6021505376344093E-2</v>
      </c>
      <c r="I230" s="79" t="str">
        <f>IF(COUNTIFS(tcj,TRUE,SuchSpalte,AuswahlFilter2)=1,"X","")</f>
        <v/>
      </c>
      <c r="J230" s="25"/>
      <c r="L230" s="25"/>
      <c r="M230" s="25"/>
      <c r="N230" s="2"/>
    </row>
    <row r="231" spans="2:14" x14ac:dyDescent="0.25">
      <c r="B231" s="25" t="s">
        <v>79</v>
      </c>
      <c r="E231" s="25"/>
      <c r="G231" s="25"/>
      <c r="H231" s="79">
        <f>COUNTIFS(tck,TRUE,SuchSpalte,AuswahlFilter1)/IF(Prozent=TRUE,'Basis f1'!$G$222,1)</f>
        <v>6.4516129032258063E-2</v>
      </c>
      <c r="I231" s="79" t="str">
        <f>IF(COUNTIFS(tck,TRUE,SuchSpalte,AuswahlFilter2)=1,"X","")</f>
        <v/>
      </c>
      <c r="J231" s="25"/>
      <c r="L231" s="25"/>
      <c r="M231" s="25"/>
      <c r="N231" s="2"/>
    </row>
    <row r="232" spans="2:14" x14ac:dyDescent="0.25">
      <c r="B232" s="25"/>
      <c r="E232" s="25"/>
      <c r="G232" s="25"/>
      <c r="I232" s="25"/>
      <c r="J232" s="25"/>
      <c r="L232" s="25"/>
      <c r="M232" s="25"/>
      <c r="N232" s="2"/>
    </row>
    <row r="233" spans="2:14" ht="30" customHeight="1" x14ac:dyDescent="0.25">
      <c r="B233" s="163" t="s">
        <v>1641</v>
      </c>
      <c r="C233" s="163"/>
      <c r="D233" s="163"/>
      <c r="E233" s="163"/>
      <c r="F233" s="163"/>
      <c r="G233" s="163"/>
      <c r="H233" s="163"/>
      <c r="I233" s="163"/>
      <c r="J233" s="163"/>
      <c r="L233" s="8"/>
      <c r="M233" s="8"/>
      <c r="N233" s="2"/>
    </row>
    <row r="234" spans="2:14" s="30" customFormat="1" ht="17.25" customHeight="1" x14ac:dyDescent="0.25">
      <c r="B234" s="108"/>
      <c r="C234" s="108"/>
      <c r="D234" s="110" t="str">
        <f>'Basis f1'!C234&amp;" Antworten"</f>
        <v>87 Antworten</v>
      </c>
      <c r="E234" s="108"/>
      <c r="F234" s="108"/>
      <c r="G234" s="108"/>
      <c r="H234" s="108"/>
      <c r="I234" s="108"/>
      <c r="J234" s="108"/>
      <c r="K234" s="1"/>
      <c r="L234" s="108"/>
      <c r="M234" s="108"/>
    </row>
    <row r="235" spans="2:14" x14ac:dyDescent="0.25">
      <c r="B235" s="27" t="s">
        <v>39</v>
      </c>
      <c r="D235" s="84">
        <f>COUNTIFS(tcl,B235,SuchSpalte,AuswahlFilter1)/IF(Prozent=TRUE,'Basis f1'!$C$234,1)</f>
        <v>0.56321839080459768</v>
      </c>
      <c r="E235" s="84" t="str">
        <f>IF(COUNTIFS(tcl,B235,SuchSpalte,AuswahlFilter2)=1,"X","")</f>
        <v/>
      </c>
      <c r="J235" s="11"/>
      <c r="L235" s="11"/>
      <c r="M235" s="11"/>
      <c r="N235" s="2"/>
    </row>
    <row r="236" spans="2:14" x14ac:dyDescent="0.25">
      <c r="B236" s="27" t="s">
        <v>211</v>
      </c>
      <c r="D236" s="84">
        <f>COUNTIFS(tcl,B236,SuchSpalte,AuswahlFilter1)/IF(Prozent=TRUE,'Basis f1'!$C$234,1)</f>
        <v>0.2988505747126437</v>
      </c>
      <c r="E236" s="85" t="str">
        <f>IF(COUNTIFS(tcl,B236,SuchSpalte,AuswahlFilter2)=1,"X","")</f>
        <v/>
      </c>
      <c r="J236" s="11"/>
      <c r="L236" s="11"/>
      <c r="M236" s="11"/>
      <c r="N236" s="2"/>
    </row>
    <row r="237" spans="2:14" x14ac:dyDescent="0.25">
      <c r="B237" s="27" t="s">
        <v>33</v>
      </c>
      <c r="D237" s="84">
        <f>COUNTIFS(tcl,B237,SuchSpalte,AuswahlFilter1)/IF(Prozent=TRUE,'Basis f1'!$C$234,1)</f>
        <v>0.13793103448275862</v>
      </c>
      <c r="E237" s="85" t="str">
        <f>IF(COUNTIFS(tcl,B237,SuchSpalte,AuswahlFilter2)=1,"X","")</f>
        <v/>
      </c>
      <c r="J237" s="11"/>
      <c r="L237" s="11"/>
      <c r="M237" s="11"/>
      <c r="N237" s="2"/>
    </row>
    <row r="238" spans="2:14" x14ac:dyDescent="0.25">
      <c r="E238" s="63"/>
      <c r="J238" s="11"/>
      <c r="L238" s="11"/>
      <c r="M238" s="11"/>
      <c r="N238" s="2"/>
    </row>
    <row r="239" spans="2:14" x14ac:dyDescent="0.25">
      <c r="E239" s="63"/>
      <c r="J239" s="11"/>
      <c r="L239" s="11"/>
      <c r="M239" s="11"/>
      <c r="N239" s="2"/>
    </row>
    <row r="240" spans="2:14" x14ac:dyDescent="0.25">
      <c r="B240" s="3" t="s">
        <v>81</v>
      </c>
      <c r="C240" s="3"/>
      <c r="D240" s="3"/>
      <c r="E240" s="63"/>
      <c r="G240" s="28"/>
      <c r="I240" s="28"/>
      <c r="J240" s="11"/>
      <c r="L240" s="11"/>
      <c r="M240" s="11"/>
      <c r="N240" s="2"/>
    </row>
    <row r="241" spans="2:14" x14ac:dyDescent="0.25">
      <c r="B241" s="28"/>
      <c r="E241" s="63"/>
      <c r="G241" s="28"/>
      <c r="I241" s="28"/>
      <c r="J241" s="11"/>
      <c r="L241" s="11"/>
      <c r="M241" s="11"/>
      <c r="N241" s="2"/>
    </row>
    <row r="242" spans="2:14" x14ac:dyDescent="0.25">
      <c r="B242" s="3" t="s">
        <v>1715</v>
      </c>
      <c r="E242" s="63"/>
      <c r="G242" s="28"/>
      <c r="I242" s="28"/>
      <c r="J242" s="11"/>
      <c r="L242" s="11"/>
      <c r="M242" s="11"/>
      <c r="N242" s="2"/>
    </row>
    <row r="243" spans="2:14" s="30" customFormat="1" x14ac:dyDescent="0.25">
      <c r="B243" s="3"/>
      <c r="D243" s="110" t="str">
        <f>'Basis f1'!C243&amp;" Antworten"</f>
        <v>32 Antworten</v>
      </c>
      <c r="E243" s="63"/>
      <c r="K243" s="1"/>
    </row>
    <row r="244" spans="2:14" x14ac:dyDescent="0.25">
      <c r="B244" s="28" t="s">
        <v>212</v>
      </c>
      <c r="D244" s="84">
        <f>COUNTIFS(tcm,B244,SuchSpalte,AuswahlFilter1)/IF(Prozent=TRUE,'Basis f1'!$C$243,1)</f>
        <v>0.59375</v>
      </c>
      <c r="E244" s="84" t="str">
        <f>IF(COUNTIFS(tcm,B244,SuchSpalte,AuswahlFilter2)=1,"X","")</f>
        <v/>
      </c>
      <c r="G244" s="28"/>
      <c r="I244" s="28"/>
      <c r="J244" s="11"/>
      <c r="L244" s="11"/>
      <c r="M244" s="11"/>
      <c r="N244" s="2"/>
    </row>
    <row r="245" spans="2:14" x14ac:dyDescent="0.25">
      <c r="B245" s="28" t="s">
        <v>213</v>
      </c>
      <c r="D245" s="84">
        <f>COUNTIFS(tcm,B245,SuchSpalte,AuswahlFilter1)/IF(Prozent=TRUE,'Basis f1'!$C$243,1)</f>
        <v>0.34375</v>
      </c>
      <c r="E245" s="85" t="str">
        <f>IF(COUNTIFS(tcm,B245,SuchSpalte,AuswahlFilter2)=1,"X","")</f>
        <v/>
      </c>
      <c r="G245" s="28"/>
      <c r="I245" s="28"/>
      <c r="J245" s="11"/>
      <c r="L245" s="11"/>
      <c r="M245" s="11"/>
      <c r="N245" s="2"/>
    </row>
    <row r="246" spans="2:14" x14ac:dyDescent="0.25">
      <c r="B246" s="28" t="s">
        <v>214</v>
      </c>
      <c r="D246" s="84">
        <f>COUNTIFS(tcm,"5 Jahren",SuchSpalte,AuswahlFilter1)/IF(Prozent=TRUE,'Basis f1'!$C$243,1)</f>
        <v>6.25E-2</v>
      </c>
      <c r="E246" s="85" t="str">
        <f>IF(COUNTIFS(tcm,B246,SuchSpalte,AuswahlFilter2)=1,"X","")</f>
        <v/>
      </c>
      <c r="G246" s="28"/>
      <c r="I246" s="28"/>
      <c r="J246" s="11"/>
      <c r="L246" s="11"/>
      <c r="M246" s="11"/>
      <c r="N246" s="2"/>
    </row>
    <row r="247" spans="2:14" x14ac:dyDescent="0.25">
      <c r="B247" s="28"/>
      <c r="D247" s="6"/>
      <c r="E247" s="6"/>
      <c r="G247" s="28"/>
      <c r="I247" s="28"/>
      <c r="J247" s="11"/>
      <c r="L247" s="11"/>
      <c r="M247" s="11"/>
      <c r="N247" s="2"/>
    </row>
    <row r="248" spans="2:14" x14ac:dyDescent="0.25">
      <c r="B248" s="3" t="s">
        <v>1642</v>
      </c>
      <c r="E248" s="63"/>
      <c r="G248" s="28"/>
      <c r="I248" s="28"/>
      <c r="J248" s="11"/>
      <c r="L248" s="11"/>
      <c r="M248" s="11"/>
      <c r="N248" s="2"/>
    </row>
    <row r="249" spans="2:14" s="30" customFormat="1" x14ac:dyDescent="0.25">
      <c r="B249" s="3"/>
      <c r="D249" s="110" t="str">
        <f>'Basis f1'!C249&amp;" Antworten"</f>
        <v>2 Antworten</v>
      </c>
      <c r="E249" s="63"/>
      <c r="K249" s="1"/>
    </row>
    <row r="250" spans="2:14" x14ac:dyDescent="0.25">
      <c r="B250" s="28" t="s">
        <v>104</v>
      </c>
      <c r="D250" s="84">
        <f>COUNTIFS(tct,B250,SuchSpalte,AuswahlFilter1)/IF(Prozent=TRUE,'Basis f1'!$C$249,1)</f>
        <v>0.5</v>
      </c>
      <c r="E250" s="84" t="str">
        <f>IF(COUNTIFS(tct,B250,SuchSpalte,AuswahlFilter2)=1,"X","")</f>
        <v/>
      </c>
      <c r="G250" s="28"/>
      <c r="I250" s="28"/>
      <c r="J250" s="11"/>
      <c r="L250" s="11"/>
      <c r="M250" s="11"/>
      <c r="N250" s="2"/>
    </row>
    <row r="251" spans="2:14" x14ac:dyDescent="0.25">
      <c r="B251" s="28" t="s">
        <v>215</v>
      </c>
      <c r="D251" s="84">
        <f>COUNTIFS(tct,B251,SuchSpalte,AuswahlFilter1)/IF(Prozent=TRUE,'Basis f1'!$C$249,1)</f>
        <v>0.5</v>
      </c>
      <c r="E251" s="85" t="str">
        <f>IF(COUNTIFS(tct,B251,SuchSpalte,AuswahlFilter2)=1,"X","")</f>
        <v/>
      </c>
      <c r="G251" s="28"/>
      <c r="I251" s="28"/>
      <c r="J251" s="11"/>
      <c r="L251" s="11"/>
      <c r="M251" s="11"/>
      <c r="N251" s="2"/>
    </row>
    <row r="252" spans="2:14" x14ac:dyDescent="0.25">
      <c r="B252" s="28" t="s">
        <v>209</v>
      </c>
      <c r="D252" s="84">
        <f>COUNTIFS(tct,B252,SuchSpalte,AuswahlFilter1)/IF(Prozent=TRUE,'Basis f1'!$C$249,1)</f>
        <v>0</v>
      </c>
      <c r="E252" s="85" t="str">
        <f>IF(COUNTIFS(tct,B252,SuchSpalte,AuswahlFilter2)=1,"X","")</f>
        <v/>
      </c>
      <c r="G252" s="28"/>
      <c r="I252" s="28"/>
      <c r="J252" s="11"/>
      <c r="L252" s="11"/>
      <c r="M252" s="11"/>
      <c r="N252" s="2"/>
    </row>
    <row r="253" spans="2:14" x14ac:dyDescent="0.25">
      <c r="B253" s="28"/>
      <c r="D253" s="80"/>
      <c r="E253" s="80"/>
      <c r="G253" s="28"/>
      <c r="I253" s="28"/>
      <c r="J253" s="11"/>
      <c r="L253" s="11"/>
      <c r="M253" s="11"/>
      <c r="N253" s="2"/>
    </row>
    <row r="254" spans="2:14" ht="34.5" customHeight="1" x14ac:dyDescent="0.25">
      <c r="B254" s="164" t="s">
        <v>86</v>
      </c>
      <c r="C254" s="164"/>
      <c r="D254" s="164"/>
      <c r="E254" s="164"/>
      <c r="F254" s="164"/>
      <c r="G254" s="164"/>
      <c r="H254" s="164"/>
      <c r="I254" s="28"/>
      <c r="J254" s="11"/>
      <c r="L254" s="11"/>
      <c r="M254" s="11"/>
      <c r="N254" s="2"/>
    </row>
    <row r="255" spans="2:14" s="30" customFormat="1" ht="16.5" customHeight="1" x14ac:dyDescent="0.25">
      <c r="B255" s="109"/>
      <c r="C255" s="109"/>
      <c r="D255" s="110" t="str">
        <f>'Basis f1'!C255&amp;" Antworten"</f>
        <v>39 Antworten</v>
      </c>
      <c r="E255" s="109"/>
      <c r="F255" s="109"/>
      <c r="G255" s="109"/>
      <c r="H255" s="109"/>
      <c r="K255" s="1"/>
    </row>
    <row r="256" spans="2:14" x14ac:dyDescent="0.25">
      <c r="B256" s="28" t="s">
        <v>39</v>
      </c>
      <c r="D256" s="84">
        <f>COUNTIFS(tcu,B256,SuchSpalte,AuswahlFilter1)/IF(Prozent=TRUE,'Basis f1'!$C$255,1)</f>
        <v>0.66666666666666663</v>
      </c>
      <c r="E256" s="84" t="str">
        <f>IF(COUNTIFS(tcu,B256,SuchSpalte,AuswahlFilter2)=1,"X","")</f>
        <v/>
      </c>
      <c r="G256" s="30"/>
      <c r="I256" s="30"/>
      <c r="J256" s="11"/>
      <c r="L256" s="11"/>
      <c r="M256" s="11"/>
      <c r="N256" s="2"/>
    </row>
    <row r="257" spans="2:14" x14ac:dyDescent="0.25">
      <c r="B257" s="28" t="s">
        <v>216</v>
      </c>
      <c r="D257" s="84">
        <f>COUNTIFS(tcu,B257,SuchSpalte,AuswahlFilter1)/IF(Prozent=TRUE,'Basis f1'!$C$255,1)</f>
        <v>0.12820512820512819</v>
      </c>
      <c r="E257" s="85" t="str">
        <f>IF(COUNTIFS(tcu,B257,SuchSpalte,AuswahlFilter2)=1,"X","")</f>
        <v/>
      </c>
      <c r="G257" s="30"/>
      <c r="I257" s="30"/>
      <c r="J257" s="11"/>
      <c r="L257" s="11"/>
      <c r="M257" s="11"/>
      <c r="N257" s="2"/>
    </row>
    <row r="258" spans="2:14" x14ac:dyDescent="0.25">
      <c r="B258" s="28" t="s">
        <v>1718</v>
      </c>
      <c r="D258" s="84">
        <f>COUNTIFS(tcu,B258,SuchSpalte,AuswahlFilter1)/IF(Prozent=TRUE,'Basis f1'!$C$255,1)</f>
        <v>0</v>
      </c>
      <c r="E258" s="85" t="str">
        <f>IF(COUNTIFS(tcu,B258,SuchSpalte,AuswahlFilter2)=1,"X","")</f>
        <v/>
      </c>
      <c r="G258" s="30"/>
      <c r="I258" s="30"/>
      <c r="J258" s="11"/>
      <c r="L258" s="11"/>
      <c r="M258" s="11"/>
      <c r="N258" s="2"/>
    </row>
    <row r="259" spans="2:14" x14ac:dyDescent="0.25">
      <c r="B259" s="28" t="s">
        <v>1719</v>
      </c>
      <c r="D259" s="84">
        <f>COUNTIFS(tcu,"Ja im Tschechien",SuchSpalte,AuswahlFilter1)/IF(Prozent=TRUE,'Basis f1'!$C$255,1)</f>
        <v>2.564102564102564E-2</v>
      </c>
      <c r="E259" s="84" t="str">
        <f>IF(COUNTIFS(tcu,B259,SuchSpalte,AuswahlFilter2)=1,"X","")</f>
        <v/>
      </c>
      <c r="G259" s="30"/>
      <c r="I259" s="30"/>
      <c r="J259" s="11"/>
      <c r="L259" s="11"/>
      <c r="M259" s="11"/>
      <c r="N259" s="2"/>
    </row>
    <row r="260" spans="2:14" x14ac:dyDescent="0.25">
      <c r="B260" s="28" t="s">
        <v>1720</v>
      </c>
      <c r="D260" s="84">
        <f>COUNTIFS(tcu,B260,SuchSpalte,AuswahlFilter1)/IF(Prozent=TRUE,'Basis f1'!$C$255,1)</f>
        <v>0</v>
      </c>
      <c r="E260" s="85" t="str">
        <f>IF(COUNTIFS(tcu,B260,SuchSpalte,AuswahlFilter2)=1,"X","")</f>
        <v/>
      </c>
      <c r="G260" s="30"/>
      <c r="I260" s="30"/>
      <c r="J260" s="11"/>
      <c r="L260" s="11"/>
      <c r="M260" s="11"/>
      <c r="N260" s="2"/>
    </row>
    <row r="261" spans="2:14" x14ac:dyDescent="0.25">
      <c r="B261" s="28"/>
      <c r="E261" s="28"/>
      <c r="G261" s="28"/>
      <c r="I261" s="28"/>
      <c r="J261" s="11"/>
      <c r="L261" s="11"/>
      <c r="M261" s="11"/>
      <c r="N261" s="2"/>
    </row>
    <row r="262" spans="2:14" ht="32.25" customHeight="1" x14ac:dyDescent="0.25">
      <c r="B262" s="163" t="s">
        <v>1643</v>
      </c>
      <c r="C262" s="163"/>
      <c r="D262" s="163"/>
      <c r="E262" s="163"/>
      <c r="F262" s="163"/>
      <c r="G262" s="163"/>
      <c r="H262" s="163"/>
      <c r="I262" s="163"/>
      <c r="J262" s="163"/>
      <c r="L262" s="8"/>
      <c r="M262" s="8"/>
      <c r="N262" s="2"/>
    </row>
    <row r="263" spans="2:14" x14ac:dyDescent="0.25">
      <c r="B263" s="30"/>
      <c r="D263" s="110" t="str">
        <f>'Basis f1'!C263&amp;" Antworten"</f>
        <v>329 Antworten</v>
      </c>
      <c r="E263" s="30"/>
      <c r="G263" s="30"/>
      <c r="I263" s="30"/>
      <c r="J263" s="30"/>
      <c r="L263" s="11"/>
      <c r="M263" s="11"/>
      <c r="N263" s="2"/>
    </row>
    <row r="264" spans="2:14" x14ac:dyDescent="0.25">
      <c r="B264" s="30" t="s">
        <v>88</v>
      </c>
      <c r="D264" s="84">
        <f>COUNTIFS(tcv,TRUE,SuchSpalte,AuswahlFilter1)/IF(Prozent=TRUE,'Basis f1'!$C$263,1)</f>
        <v>0.13069908814589665</v>
      </c>
      <c r="E264" s="84" t="str">
        <f>IF(COUNTIFS(tcv,TRUE,SuchSpalte,AuswahlFilter2)=1,"X","")</f>
        <v/>
      </c>
      <c r="G264" s="30"/>
      <c r="I264" s="30"/>
      <c r="J264" s="30"/>
      <c r="L264" s="11"/>
      <c r="M264" s="11"/>
      <c r="N264" s="2"/>
    </row>
    <row r="265" spans="2:14" x14ac:dyDescent="0.25">
      <c r="B265" s="30" t="s">
        <v>89</v>
      </c>
      <c r="D265" s="85">
        <f>COUNTIFS(tcw,TRUE,SuchSpalte,AuswahlFilter1)/IF(Prozent=TRUE,'Basis f1'!$C$263,1)</f>
        <v>0.18237082066869301</v>
      </c>
      <c r="E265" s="85" t="str">
        <f>IF(COUNTIFS(tcw,TRUE,SuchSpalte,AuswahlFilter2)=1,"X","")</f>
        <v/>
      </c>
      <c r="G265" s="30"/>
      <c r="I265" s="30"/>
      <c r="J265" s="30"/>
      <c r="L265" s="11"/>
      <c r="M265" s="11"/>
      <c r="N265" s="2"/>
    </row>
    <row r="266" spans="2:14" x14ac:dyDescent="0.25">
      <c r="B266" s="35" t="s">
        <v>230</v>
      </c>
      <c r="C266" s="24"/>
      <c r="D266" s="85">
        <f>COUNTIFS(tcx,TRUE,SuchSpalte,AuswahlFilter1)/IF(Prozent=TRUE,'Basis f1'!$C$263,1)</f>
        <v>0.1641337386018237</v>
      </c>
      <c r="E266" s="85" t="str">
        <f>IF(COUNTIFS(tcx,TRUE,SuchSpalte,AuswahlFilter2)=1,"X","")</f>
        <v/>
      </c>
      <c r="G266" s="30"/>
      <c r="I266" s="30"/>
      <c r="J266" s="30"/>
      <c r="L266" s="11"/>
      <c r="M266" s="11"/>
      <c r="N266" s="2"/>
    </row>
    <row r="267" spans="2:14" x14ac:dyDescent="0.25">
      <c r="B267" s="35" t="s">
        <v>91</v>
      </c>
      <c r="C267" s="24"/>
      <c r="D267" s="84">
        <f>COUNTIFS(tcy,TRUE,SuchSpalte,AuswahlFilter1)/IF(Prozent=TRUE,'Basis f1'!$C$263,1)</f>
        <v>1.82370820668693E-2</v>
      </c>
      <c r="E267" s="84" t="str">
        <f>IF(COUNTIFS(tcy,TRUE,SuchSpalte,AuswahlFilter2)=1,"X","")</f>
        <v/>
      </c>
      <c r="G267" s="30"/>
      <c r="I267" s="30"/>
      <c r="J267" s="30"/>
      <c r="L267" s="11"/>
      <c r="M267" s="11"/>
      <c r="N267" s="2"/>
    </row>
    <row r="268" spans="2:14" x14ac:dyDescent="0.25">
      <c r="B268" s="30" t="s">
        <v>92</v>
      </c>
      <c r="D268" s="85">
        <f>COUNTIFS(tcz,TRUE,SuchSpalte,AuswahlFilter1)/IF(Prozent=TRUE,'Basis f1'!$C$263,1)</f>
        <v>0.18237082066869301</v>
      </c>
      <c r="E268" s="85" t="str">
        <f>IF(COUNTIFS(tcz,TRUE,SuchSpalte,AuswahlFilter2)=1,"X","")</f>
        <v/>
      </c>
      <c r="G268" s="30"/>
      <c r="I268" s="30"/>
      <c r="J268" s="30"/>
      <c r="L268" s="11"/>
      <c r="M268" s="11"/>
      <c r="N268" s="2"/>
    </row>
    <row r="269" spans="2:14" x14ac:dyDescent="0.25">
      <c r="B269" s="35" t="s">
        <v>1716</v>
      </c>
      <c r="C269" s="24"/>
      <c r="D269" s="84">
        <f>COUNTIFS(tda,TRUE,SuchSpalte,AuswahlFilter1)/IF(Prozent=TRUE,'Basis f1'!$C$263,1)</f>
        <v>0.1337386018237082</v>
      </c>
      <c r="E269" s="84" t="str">
        <f>IF(COUNTIFS(tda,TRUE,SuchSpalte,AuswahlFilter2)=1,"X","")</f>
        <v/>
      </c>
      <c r="G269" s="30"/>
      <c r="I269" s="30"/>
      <c r="J269" s="30"/>
      <c r="L269" s="11"/>
      <c r="M269" s="11"/>
      <c r="N269" s="2"/>
    </row>
    <row r="270" spans="2:14" x14ac:dyDescent="0.25">
      <c r="B270" s="35" t="s">
        <v>1717</v>
      </c>
      <c r="C270" s="24"/>
      <c r="D270" s="85">
        <f>COUNTIFS(tdb,TRUE,SuchSpalte,AuswahlFilter1)/IF(Prozent=TRUE,'Basis f1'!$C$263,1)</f>
        <v>0.11550151975683891</v>
      </c>
      <c r="E270" s="85" t="str">
        <f>IF(COUNTIFS(tdb,TRUE,SuchSpalte,AuswahlFilter2)=1,"X","")</f>
        <v/>
      </c>
      <c r="G270" s="30"/>
      <c r="I270" s="30"/>
      <c r="J270" s="30"/>
      <c r="L270" s="11"/>
      <c r="M270" s="11"/>
      <c r="N270" s="2"/>
    </row>
    <row r="271" spans="2:14" x14ac:dyDescent="0.25">
      <c r="B271" s="35" t="s">
        <v>95</v>
      </c>
      <c r="C271" s="24"/>
      <c r="D271" s="85">
        <f>COUNTIFS(tdc,TRUE,SuchSpalte,AuswahlFilter1)/IF(Prozent=TRUE,'Basis f1'!$C$263,1)</f>
        <v>7.29483282674772E-2</v>
      </c>
      <c r="E271" s="85" t="str">
        <f>IF(COUNTIFS(tdc,TRUE,SuchSpalte,AuswahlFilter2)=1,"X","")</f>
        <v/>
      </c>
      <c r="G271" s="30"/>
      <c r="I271" s="30"/>
      <c r="J271" s="30"/>
      <c r="N271" s="2"/>
    </row>
    <row r="272" spans="2:14" x14ac:dyDescent="0.25">
      <c r="B272" s="11"/>
      <c r="E272" s="11"/>
      <c r="G272" s="11"/>
      <c r="I272" s="11"/>
      <c r="N272" s="2"/>
    </row>
    <row r="273" spans="2:14" x14ac:dyDescent="0.25">
      <c r="B273" s="11"/>
      <c r="E273" s="11"/>
      <c r="G273" s="30"/>
      <c r="I273" s="11"/>
      <c r="N273" s="2"/>
    </row>
  </sheetData>
  <sheetProtection password="A8F5" sheet="1" objects="1" scenarios="1"/>
  <mergeCells count="21">
    <mergeCell ref="B229:G229"/>
    <mergeCell ref="B230:G230"/>
    <mergeCell ref="B221:J221"/>
    <mergeCell ref="B262:J262"/>
    <mergeCell ref="B233:J233"/>
    <mergeCell ref="B254:H254"/>
    <mergeCell ref="B86:G86"/>
    <mergeCell ref="B87:G87"/>
    <mergeCell ref="B2:F2"/>
    <mergeCell ref="B213:G213"/>
    <mergeCell ref="B134:G134"/>
    <mergeCell ref="B135:G135"/>
    <mergeCell ref="B173:C173"/>
    <mergeCell ref="B209:J209"/>
    <mergeCell ref="B176:J176"/>
    <mergeCell ref="B158:C158"/>
    <mergeCell ref="B166:C166"/>
    <mergeCell ref="B160:E160"/>
    <mergeCell ref="B113:I113"/>
    <mergeCell ref="B128:J128"/>
    <mergeCell ref="B150:J150"/>
  </mergeCells>
  <conditionalFormatting sqref="D9:D13 H9:H12 D17 H17 D20:D24 H20:H24 D29:D38 H29:H38 D41:D50 H41:H50 D53:D62 H53:H62 D65:D74 H65:H74 D78:D81 H78:H80 H85:H88 H92:H104 D109:D111 H109:H111 D115:D118 H115:H118 D123:D125 H123:H125 H130:H140 H144:H147 D154:D158 H154:H158 D162:D166 H162:H166 D169:D173 H169:H173 D178:D184 D190:D193 H190:H193 D198:D202 D205:D206 H211:H219 H223:H231 D235:D237 D244:D246 D250:D252 D256:D260 D264:D271">
    <cfRule type="expression" dxfId="7" priority="9">
      <formula>$AJ$10=1</formula>
    </cfRule>
  </conditionalFormatting>
  <pageMargins left="0.7" right="0.7" top="0.78740157499999996" bottom="0.78740157499999996" header="0.3" footer="0.3"/>
  <pageSetup paperSize="9" orientation="portrait" horizontalDpi="300" verticalDpi="300" r:id="rId1"/>
  <ignoredErrors>
    <ignoredError sqref="D259 H87 H1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1" r:id="rId4" name="Drop Down 3">
              <controlPr defaultSize="0" autoLine="0" autoPict="0">
                <anchor moveWithCells="1">
                  <from>
                    <xdr:col>1</xdr:col>
                    <xdr:colOff>85725</xdr:colOff>
                    <xdr:row>2</xdr:row>
                    <xdr:rowOff>161925</xdr:rowOff>
                  </from>
                  <to>
                    <xdr:col>4</xdr:col>
                    <xdr:colOff>28575</xdr:colOff>
                    <xdr:row>2</xdr:row>
                    <xdr:rowOff>333375</xdr:rowOff>
                  </to>
                </anchor>
              </controlPr>
            </control>
          </mc:Choice>
        </mc:AlternateContent>
        <mc:AlternateContent xmlns:mc="http://schemas.openxmlformats.org/markup-compatibility/2006">
          <mc:Choice Requires="x14">
            <control shapeId="2052" r:id="rId5" name="Scroll Bar 4">
              <controlPr defaultSize="0" autoPict="0">
                <anchor moveWithCells="1">
                  <from>
                    <xdr:col>1</xdr:col>
                    <xdr:colOff>266700</xdr:colOff>
                    <xdr:row>3</xdr:row>
                    <xdr:rowOff>66675</xdr:rowOff>
                  </from>
                  <to>
                    <xdr:col>2</xdr:col>
                    <xdr:colOff>419100</xdr:colOff>
                    <xdr:row>5</xdr:row>
                    <xdr:rowOff>47625</xdr:rowOff>
                  </to>
                </anchor>
              </controlPr>
            </control>
          </mc:Choice>
        </mc:AlternateContent>
        <mc:AlternateContent xmlns:mc="http://schemas.openxmlformats.org/markup-compatibility/2006">
          <mc:Choice Requires="x14">
            <control shapeId="2054" r:id="rId6" name="Drop Down 6">
              <controlPr defaultSize="0" autoLine="0" autoPict="0">
                <anchor moveWithCells="1">
                  <from>
                    <xdr:col>7</xdr:col>
                    <xdr:colOff>371475</xdr:colOff>
                    <xdr:row>2</xdr:row>
                    <xdr:rowOff>152400</xdr:rowOff>
                  </from>
                  <to>
                    <xdr:col>9</xdr:col>
                    <xdr:colOff>466725</xdr:colOff>
                    <xdr:row>2</xdr:row>
                    <xdr:rowOff>333375</xdr:rowOff>
                  </to>
                </anchor>
              </controlPr>
            </control>
          </mc:Choice>
        </mc:AlternateContent>
        <mc:AlternateContent xmlns:mc="http://schemas.openxmlformats.org/markup-compatibility/2006">
          <mc:Choice Requires="x14">
            <control shapeId="2056" r:id="rId7" name="Scroll Bar 8">
              <controlPr defaultSize="0" autoPict="0">
                <anchor moveWithCells="1">
                  <from>
                    <xdr:col>7</xdr:col>
                    <xdr:colOff>371475</xdr:colOff>
                    <xdr:row>3</xdr:row>
                    <xdr:rowOff>47625</xdr:rowOff>
                  </from>
                  <to>
                    <xdr:col>9</xdr:col>
                    <xdr:colOff>447675</xdr:colOff>
                    <xdr:row>5</xdr:row>
                    <xdr:rowOff>38100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5</xdr:col>
                    <xdr:colOff>114300</xdr:colOff>
                    <xdr:row>2</xdr:row>
                    <xdr:rowOff>266700</xdr:rowOff>
                  </from>
                  <to>
                    <xdr:col>6</xdr:col>
                    <xdr:colOff>523875</xdr:colOff>
                    <xdr:row>4</xdr:row>
                    <xdr:rowOff>47625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P273"/>
  <sheetViews>
    <sheetView workbookViewId="0">
      <selection activeCell="N9" sqref="N8:N9"/>
    </sheetView>
  </sheetViews>
  <sheetFormatPr baseColWidth="10" defaultColWidth="10.85546875" defaultRowHeight="15" x14ac:dyDescent="0.25"/>
  <cols>
    <col min="1" max="1" width="13.85546875" style="30" customWidth="1"/>
    <col min="2" max="2" width="11.28515625" style="30" customWidth="1"/>
    <col min="3" max="3" width="6.28515625" style="30" customWidth="1"/>
    <col min="4" max="4" width="7" style="30" customWidth="1"/>
    <col min="5" max="5" width="5.42578125" style="30" customWidth="1"/>
    <col min="6" max="6" width="24.42578125" style="30" customWidth="1"/>
    <col min="7" max="7" width="6.140625" style="30" customWidth="1"/>
    <col min="8" max="8" width="5.28515625" style="30" customWidth="1"/>
    <col min="9" max="9" width="8.140625" style="30" customWidth="1"/>
    <col min="10" max="10" width="7" style="1" customWidth="1"/>
    <col min="11" max="11" width="2" style="30" customWidth="1"/>
    <col min="12" max="12" width="4.28515625" style="30" customWidth="1"/>
    <col min="13" max="16384" width="10.85546875" style="30"/>
  </cols>
  <sheetData>
    <row r="2" spans="1:8" ht="28.5" x14ac:dyDescent="0.45">
      <c r="A2" s="165" t="s">
        <v>0</v>
      </c>
      <c r="B2" s="165"/>
      <c r="C2" s="165"/>
      <c r="D2" s="165"/>
      <c r="E2" s="165"/>
      <c r="F2" s="121"/>
      <c r="G2" s="121"/>
    </row>
    <row r="3" spans="1:8" ht="33" customHeight="1" x14ac:dyDescent="0.25"/>
    <row r="5" spans="1:8" s="1" customFormat="1" x14ac:dyDescent="0.25"/>
    <row r="6" spans="1:8" s="1" customFormat="1" x14ac:dyDescent="0.25"/>
    <row r="7" spans="1:8" x14ac:dyDescent="0.25">
      <c r="D7" s="29"/>
    </row>
    <row r="8" spans="1:8" x14ac:dyDescent="0.25">
      <c r="A8" s="3" t="s">
        <v>103</v>
      </c>
      <c r="B8" s="110"/>
      <c r="C8" s="125">
        <f>SUM(C9:C13,G9:G12)</f>
        <v>89</v>
      </c>
    </row>
    <row r="9" spans="1:8" x14ac:dyDescent="0.25">
      <c r="A9" s="30" t="s">
        <v>104</v>
      </c>
      <c r="C9" s="78">
        <f>COUNTIFS(tc,A9,SuchSpalte,AuswahlFilter1)</f>
        <v>0</v>
      </c>
      <c r="D9" s="78" t="str">
        <f>IF(COUNTIFS(tc,A9,SuchSpalte,AuswahlFilter2)=1,"X","")</f>
        <v/>
      </c>
      <c r="F9" s="30" t="s">
        <v>109</v>
      </c>
      <c r="G9" s="78">
        <f>COUNTIFS(tc,F9,SuchSpalte,AuswahlFilter1)</f>
        <v>46</v>
      </c>
      <c r="H9" s="78" t="str">
        <f>IF(COUNTIFS(tc,F9,SuchSpalte,AuswahlFilter2)=1,"X","")</f>
        <v/>
      </c>
    </row>
    <row r="10" spans="1:8" x14ac:dyDescent="0.25">
      <c r="A10" s="30" t="s">
        <v>105</v>
      </c>
      <c r="C10" s="78">
        <f>COUNTIFS(tc,A10,SuchSpalte,AuswahlFilter1)</f>
        <v>2</v>
      </c>
      <c r="D10" s="78" t="str">
        <f>IF(COUNTIFS(tc,A10,SuchSpalte,AuswahlFilter2)=1,"X","")</f>
        <v/>
      </c>
      <c r="F10" s="30" t="s">
        <v>110</v>
      </c>
      <c r="G10" s="78">
        <f>COUNTIFS(tc,F10,SuchSpalte,AuswahlFilter1)</f>
        <v>27</v>
      </c>
      <c r="H10" s="78" t="str">
        <f>IF(COUNTIFS(tc,F10,SuchSpalte,AuswahlFilter2)=1,"X","")</f>
        <v/>
      </c>
    </row>
    <row r="11" spans="1:8" x14ac:dyDescent="0.25">
      <c r="A11" s="30" t="s">
        <v>106</v>
      </c>
      <c r="C11" s="78">
        <f>COUNTIFS(tc,A11,SuchSpalte,AuswahlFilter1)</f>
        <v>1</v>
      </c>
      <c r="D11" s="78" t="str">
        <f>IF(COUNTIFS(tc,A11,SuchSpalte,AuswahlFilter2)=1,"X","")</f>
        <v/>
      </c>
      <c r="F11" s="30" t="s">
        <v>111</v>
      </c>
      <c r="G11" s="78">
        <f>COUNTIFS(tc,F11,SuchSpalte,AuswahlFilter1)</f>
        <v>9</v>
      </c>
      <c r="H11" s="78" t="str">
        <f>IF(COUNTIFS(tc,F11,SuchSpalte,AuswahlFilter2)=1,"X","")</f>
        <v/>
      </c>
    </row>
    <row r="12" spans="1:8" x14ac:dyDescent="0.25">
      <c r="A12" s="30" t="s">
        <v>107</v>
      </c>
      <c r="C12" s="78">
        <f>COUNTIFS(tc,A12,SuchSpalte,AuswahlFilter1)</f>
        <v>0</v>
      </c>
      <c r="D12" s="78" t="str">
        <f>IF(COUNTIFS(tc,A12,SuchSpalte,AuswahlFilter2)=1,"X","")</f>
        <v/>
      </c>
      <c r="F12" s="30" t="s">
        <v>112</v>
      </c>
      <c r="G12" s="78">
        <f>COUNTIFS(tc,F12,SuchSpalte,AuswahlFilter1)</f>
        <v>1</v>
      </c>
      <c r="H12" s="78" t="str">
        <f>IF(COUNTIFS(tc,F12,SuchSpalte,AuswahlFilter2)=1,"X","")</f>
        <v/>
      </c>
    </row>
    <row r="13" spans="1:8" x14ac:dyDescent="0.25">
      <c r="A13" s="30" t="s">
        <v>108</v>
      </c>
      <c r="C13" s="78">
        <f>COUNTIFS(tc,A13,SuchSpalte,AuswahlFilter1)</f>
        <v>3</v>
      </c>
      <c r="D13" s="78" t="str">
        <f>IF(COUNTIFS(tc,A13,SuchSpalte,AuswahlFilter2)=1,"X","")</f>
        <v/>
      </c>
      <c r="G13" s="6"/>
      <c r="H13" s="6"/>
    </row>
    <row r="14" spans="1:8" x14ac:dyDescent="0.25">
      <c r="C14" s="6"/>
      <c r="D14" s="6"/>
      <c r="G14" s="6"/>
      <c r="H14" s="6"/>
    </row>
    <row r="15" spans="1:8" x14ac:dyDescent="0.25">
      <c r="C15" s="6"/>
      <c r="D15" s="6"/>
      <c r="G15" s="6"/>
      <c r="H15" s="6"/>
    </row>
    <row r="16" spans="1:8" x14ac:dyDescent="0.25">
      <c r="A16" s="3" t="s">
        <v>113</v>
      </c>
      <c r="B16" s="110"/>
      <c r="C16" s="126">
        <f>C17+G17</f>
        <v>89</v>
      </c>
      <c r="D16" s="6"/>
      <c r="G16" s="6"/>
      <c r="H16" s="6"/>
    </row>
    <row r="17" spans="1:8" x14ac:dyDescent="0.25">
      <c r="A17" s="30" t="s">
        <v>114</v>
      </c>
      <c r="C17" s="78">
        <f>COUNTIFS(tg,A17,SuchSpalte,AuswahlFilter1)</f>
        <v>89</v>
      </c>
      <c r="D17" s="78" t="str">
        <f>IF(COUNTIFS(tg,A17,SuchSpalte,AuswahlFilter2)=1,"X","")</f>
        <v/>
      </c>
      <c r="F17" s="30" t="s">
        <v>115</v>
      </c>
      <c r="G17" s="78">
        <f>COUNTIFS(tg,F17,SuchSpalte,AuswahlFilter1)</f>
        <v>0</v>
      </c>
      <c r="H17" s="78" t="str">
        <f>IF(COUNTIFS(tg,F17,SuchSpalte,AuswahlFilter2)=1,"X","")</f>
        <v/>
      </c>
    </row>
    <row r="18" spans="1:8" x14ac:dyDescent="0.25">
      <c r="C18" s="6"/>
      <c r="D18" s="6"/>
      <c r="G18" s="6"/>
      <c r="H18" s="6"/>
    </row>
    <row r="19" spans="1:8" x14ac:dyDescent="0.25">
      <c r="A19" s="3" t="s">
        <v>116</v>
      </c>
      <c r="B19" s="110"/>
      <c r="C19" s="126">
        <f>SUM(C20:C24,G20:G24)</f>
        <v>134</v>
      </c>
      <c r="D19" s="6"/>
      <c r="G19" s="6"/>
      <c r="H19" s="6"/>
    </row>
    <row r="20" spans="1:8" x14ac:dyDescent="0.25">
      <c r="A20" s="30" t="s">
        <v>117</v>
      </c>
      <c r="C20" s="78">
        <f>COUNTIFS(tp,A20,SuchSpalte,AuswahlFilter1)+COUNTIFS(tq,A20,SuchSpalte,AuswahlFilter1)+COUNTIFS(tr,A20,SuchSpalte,AuswahlFilter1)</f>
        <v>11</v>
      </c>
      <c r="D20" s="78" t="str">
        <f>IF(COUNTIFS(tp,A20,SuchSpalte,AuswahlFilter2)=1,"X","")</f>
        <v/>
      </c>
      <c r="F20" s="30" t="s">
        <v>122</v>
      </c>
      <c r="G20" s="78">
        <f>COUNTIFS(tp,F20,SuchSpalte,AuswahlFilter1)+COUNTIFS(tq,F20,SuchSpalte,AuswahlFilter1)+COUNTIFS(tr,F20,SuchSpalte,AuswahlFilter1)</f>
        <v>9</v>
      </c>
      <c r="H20" s="78" t="str">
        <f>IF(COUNTIFS(tp,F20,SuchSpalte,AuswahlFilter2)=1,"X","")</f>
        <v/>
      </c>
    </row>
    <row r="21" spans="1:8" x14ac:dyDescent="0.25">
      <c r="A21" s="30" t="s">
        <v>118</v>
      </c>
      <c r="C21" s="78">
        <f>COUNTIFS(tp,A21,SuchSpalte,AuswahlFilter1)+COUNTIFS(tq,A21,SuchSpalte,AuswahlFilter1)+COUNTIFS(tr,A21,SuchSpalte,AuswahlFilter1)</f>
        <v>46</v>
      </c>
      <c r="D21" s="79" t="str">
        <f>IF(COUNTIFS(tp,A21,SuchSpalte,AuswahlFilter2)=1,"X","")</f>
        <v/>
      </c>
      <c r="F21" s="30" t="s">
        <v>123</v>
      </c>
      <c r="G21" s="78">
        <f>COUNTIFS(tp,F21,SuchSpalte,AuswahlFilter1)+COUNTIFS(tq,F21,SuchSpalte,AuswahlFilter1)+COUNTIFS(tr,F21,SuchSpalte,AuswahlFilter1)</f>
        <v>3</v>
      </c>
      <c r="H21" s="79" t="str">
        <f>IF(COUNTIFS(tp,F21,SuchSpalte,AuswahlFilter2)=1,"X","")</f>
        <v/>
      </c>
    </row>
    <row r="22" spans="1:8" x14ac:dyDescent="0.25">
      <c r="A22" s="30" t="s">
        <v>119</v>
      </c>
      <c r="C22" s="78">
        <f>COUNTIFS(tp,A22,SuchSpalte,AuswahlFilter1)+COUNTIFS(tq,A22,SuchSpalte,AuswahlFilter1)+COUNTIFS(tr,A22,SuchSpalte,AuswahlFilter1)</f>
        <v>23</v>
      </c>
      <c r="D22" s="79" t="str">
        <f>IF(COUNTIFS(tp,A22,SuchSpalte,AuswahlFilter2)=1,"X","")</f>
        <v/>
      </c>
      <c r="F22" s="30" t="s">
        <v>124</v>
      </c>
      <c r="G22" s="78">
        <f>COUNTIFS(tp,F22,SuchSpalte,AuswahlFilter1)+COUNTIFS(tq,F22,SuchSpalte,AuswahlFilter1)+COUNTIFS(tr,F22,SuchSpalte,AuswahlFilter1)</f>
        <v>3</v>
      </c>
      <c r="H22" s="79" t="str">
        <f>IF(COUNTIFS(tp,F22,SuchSpalte,AuswahlFilter2)=1,"X","")</f>
        <v/>
      </c>
    </row>
    <row r="23" spans="1:8" x14ac:dyDescent="0.25">
      <c r="A23" s="30" t="s">
        <v>120</v>
      </c>
      <c r="C23" s="78">
        <f>COUNTIFS(tp,A23,SuchSpalte,AuswahlFilter1)+COUNTIFS(tq,A23,SuchSpalte,AuswahlFilter1)+COUNTIFS(tr,A23,SuchSpalte,AuswahlFilter1)</f>
        <v>20</v>
      </c>
      <c r="D23" s="78" t="str">
        <f>IF(COUNTIFS(tp,A23,SuchSpalte,AuswahlFilter2)=1,"X","")</f>
        <v/>
      </c>
      <c r="F23" s="30" t="s">
        <v>125</v>
      </c>
      <c r="G23" s="78">
        <f>COUNTIFS(tp,F23,SuchSpalte,AuswahlFilter1)+COUNTIFS(tq,F23,SuchSpalte,AuswahlFilter1)+COUNTIFS(tr,F23,SuchSpalte,AuswahlFilter1)</f>
        <v>0</v>
      </c>
      <c r="H23" s="78" t="str">
        <f>IF(COUNTIFS(tp,F23,SuchSpalte,AuswahlFilter2)=1,"X","")</f>
        <v/>
      </c>
    </row>
    <row r="24" spans="1:8" x14ac:dyDescent="0.25">
      <c r="A24" s="30" t="s">
        <v>121</v>
      </c>
      <c r="C24" s="78">
        <f>COUNTIFS(tp,A24,SuchSpalte,AuswahlFilter1)+COUNTIFS(tq,A24,SuchSpalte,AuswahlFilter1)+COUNTIFS(tr,A24,SuchSpalte,AuswahlFilter1)</f>
        <v>19</v>
      </c>
      <c r="D24" s="78" t="str">
        <f>IF(COUNTIFS(tp,A24,SuchSpalte,AuswahlFilter2)=1,"X","")</f>
        <v/>
      </c>
      <c r="F24" s="30" t="s">
        <v>126</v>
      </c>
      <c r="G24" s="78">
        <f>COUNTIFS(tp,F24,SuchSpalte,AuswahlFilter1)+COUNTIFS(tq,F24,SuchSpalte,AuswahlFilter1)+COUNTIFS(tr,F24,SuchSpalte,AuswahlFilter1)</f>
        <v>0</v>
      </c>
      <c r="H24" s="78" t="str">
        <f>IF(COUNTIFS(tp,F24,SuchSpalte,AuswahlFilter2)=1,"X","")</f>
        <v/>
      </c>
    </row>
    <row r="25" spans="1:8" x14ac:dyDescent="0.25">
      <c r="C25" s="6"/>
      <c r="D25" s="6"/>
      <c r="F25" s="29"/>
      <c r="G25" s="68"/>
      <c r="H25" s="6"/>
    </row>
    <row r="26" spans="1:8" x14ac:dyDescent="0.25">
      <c r="A26" s="3" t="s">
        <v>127</v>
      </c>
      <c r="B26" s="3"/>
      <c r="C26" s="67"/>
      <c r="D26" s="6"/>
      <c r="G26" s="6"/>
      <c r="H26" s="6"/>
    </row>
    <row r="27" spans="1:8" x14ac:dyDescent="0.25">
      <c r="C27" s="6"/>
      <c r="D27" s="6"/>
      <c r="G27" s="6"/>
      <c r="H27" s="6"/>
    </row>
    <row r="28" spans="1:8" x14ac:dyDescent="0.25">
      <c r="A28" s="3" t="s">
        <v>19</v>
      </c>
      <c r="B28" s="110"/>
      <c r="C28" s="126">
        <f>SUM(C29:C38,G29:G38)</f>
        <v>67</v>
      </c>
      <c r="D28" s="6"/>
      <c r="G28" s="6"/>
      <c r="H28" s="6"/>
    </row>
    <row r="29" spans="1:8" x14ac:dyDescent="0.25">
      <c r="A29" s="30" t="s">
        <v>104</v>
      </c>
      <c r="C29" s="78">
        <f t="shared" ref="C29:C38" si="0">COUNTIFS(ts,A29,SuchSpalte,AuswahlFilter1)</f>
        <v>2</v>
      </c>
      <c r="D29" s="78" t="str">
        <f t="shared" ref="D29:D38" si="1">IF(COUNTIFS(ts,A29,SuchSpalte,AuswahlFilter2)=1,"X","")</f>
        <v/>
      </c>
      <c r="F29" s="31" t="s">
        <v>137</v>
      </c>
      <c r="G29" s="78">
        <f t="shared" ref="G29:G38" si="2">COUNTIFS(ts,F29,SuchSpalte,AuswahlFilter1)</f>
        <v>12</v>
      </c>
      <c r="H29" s="78" t="str">
        <f t="shared" ref="H29:H38" si="3">IF(COUNTIFS(ts,F29,SuchSpalte,AuswahlFilter2)=1,"X","")</f>
        <v/>
      </c>
    </row>
    <row r="30" spans="1:8" x14ac:dyDescent="0.25">
      <c r="A30" s="30" t="s">
        <v>128</v>
      </c>
      <c r="C30" s="79">
        <f t="shared" si="0"/>
        <v>23</v>
      </c>
      <c r="D30" s="79" t="str">
        <f t="shared" si="1"/>
        <v/>
      </c>
      <c r="F30" s="31" t="s">
        <v>138</v>
      </c>
      <c r="G30" s="79">
        <f t="shared" si="2"/>
        <v>1</v>
      </c>
      <c r="H30" s="79" t="str">
        <f t="shared" si="3"/>
        <v/>
      </c>
    </row>
    <row r="31" spans="1:8" x14ac:dyDescent="0.25">
      <c r="A31" s="30" t="s">
        <v>129</v>
      </c>
      <c r="C31" s="79">
        <f t="shared" si="0"/>
        <v>2</v>
      </c>
      <c r="D31" s="79" t="str">
        <f t="shared" si="1"/>
        <v/>
      </c>
      <c r="F31" s="31" t="s">
        <v>139</v>
      </c>
      <c r="G31" s="79">
        <f t="shared" si="2"/>
        <v>0</v>
      </c>
      <c r="H31" s="79" t="str">
        <f t="shared" si="3"/>
        <v/>
      </c>
    </row>
    <row r="32" spans="1:8" x14ac:dyDescent="0.25">
      <c r="A32" s="30" t="s">
        <v>130</v>
      </c>
      <c r="C32" s="78">
        <f t="shared" si="0"/>
        <v>7</v>
      </c>
      <c r="D32" s="78" t="str">
        <f t="shared" si="1"/>
        <v/>
      </c>
      <c r="F32" s="31" t="s">
        <v>140</v>
      </c>
      <c r="G32" s="78">
        <f t="shared" si="2"/>
        <v>0</v>
      </c>
      <c r="H32" s="78" t="str">
        <f t="shared" si="3"/>
        <v/>
      </c>
    </row>
    <row r="33" spans="1:8" x14ac:dyDescent="0.25">
      <c r="A33" s="30" t="s">
        <v>131</v>
      </c>
      <c r="C33" s="78">
        <f t="shared" si="0"/>
        <v>1</v>
      </c>
      <c r="D33" s="78" t="str">
        <f t="shared" si="1"/>
        <v/>
      </c>
      <c r="F33" s="31" t="s">
        <v>141</v>
      </c>
      <c r="G33" s="78">
        <f t="shared" si="2"/>
        <v>0</v>
      </c>
      <c r="H33" s="78" t="str">
        <f t="shared" si="3"/>
        <v/>
      </c>
    </row>
    <row r="34" spans="1:8" x14ac:dyDescent="0.25">
      <c r="A34" s="30" t="s">
        <v>132</v>
      </c>
      <c r="C34" s="79">
        <f t="shared" si="0"/>
        <v>11</v>
      </c>
      <c r="D34" s="79" t="str">
        <f t="shared" si="1"/>
        <v/>
      </c>
      <c r="F34" s="31" t="s">
        <v>142</v>
      </c>
      <c r="G34" s="79">
        <f t="shared" si="2"/>
        <v>0</v>
      </c>
      <c r="H34" s="79" t="str">
        <f t="shared" si="3"/>
        <v/>
      </c>
    </row>
    <row r="35" spans="1:8" x14ac:dyDescent="0.25">
      <c r="A35" s="30" t="s">
        <v>133</v>
      </c>
      <c r="C35" s="79">
        <f t="shared" si="0"/>
        <v>3</v>
      </c>
      <c r="D35" s="79" t="str">
        <f t="shared" si="1"/>
        <v/>
      </c>
      <c r="F35" s="31" t="s">
        <v>143</v>
      </c>
      <c r="G35" s="79">
        <f t="shared" si="2"/>
        <v>1</v>
      </c>
      <c r="H35" s="79" t="str">
        <f t="shared" si="3"/>
        <v/>
      </c>
    </row>
    <row r="36" spans="1:8" x14ac:dyDescent="0.25">
      <c r="A36" s="30" t="s">
        <v>134</v>
      </c>
      <c r="C36" s="78">
        <f t="shared" si="0"/>
        <v>1</v>
      </c>
      <c r="D36" s="78" t="str">
        <f t="shared" si="1"/>
        <v/>
      </c>
      <c r="F36" s="31" t="s">
        <v>144</v>
      </c>
      <c r="G36" s="78">
        <f t="shared" si="2"/>
        <v>1</v>
      </c>
      <c r="H36" s="78" t="str">
        <f t="shared" si="3"/>
        <v/>
      </c>
    </row>
    <row r="37" spans="1:8" x14ac:dyDescent="0.25">
      <c r="A37" s="30" t="s">
        <v>135</v>
      </c>
      <c r="C37" s="78">
        <f t="shared" si="0"/>
        <v>0</v>
      </c>
      <c r="D37" s="78" t="str">
        <f t="shared" si="1"/>
        <v/>
      </c>
      <c r="F37" s="31" t="s">
        <v>145</v>
      </c>
      <c r="G37" s="78">
        <f t="shared" si="2"/>
        <v>2</v>
      </c>
      <c r="H37" s="78" t="str">
        <f t="shared" si="3"/>
        <v/>
      </c>
    </row>
    <row r="38" spans="1:8" x14ac:dyDescent="0.25">
      <c r="A38" s="30" t="s">
        <v>136</v>
      </c>
      <c r="C38" s="79">
        <f t="shared" si="0"/>
        <v>0</v>
      </c>
      <c r="D38" s="79" t="str">
        <f t="shared" si="1"/>
        <v/>
      </c>
      <c r="F38" s="31" t="s">
        <v>146</v>
      </c>
      <c r="G38" s="79">
        <f t="shared" si="2"/>
        <v>0</v>
      </c>
      <c r="H38" s="79" t="str">
        <f t="shared" si="3"/>
        <v/>
      </c>
    </row>
    <row r="39" spans="1:8" x14ac:dyDescent="0.25">
      <c r="C39" s="6"/>
      <c r="D39" s="6"/>
      <c r="F39" s="31"/>
      <c r="G39" s="80"/>
      <c r="H39" s="80"/>
    </row>
    <row r="40" spans="1:8" x14ac:dyDescent="0.25">
      <c r="A40" s="3" t="s">
        <v>20</v>
      </c>
      <c r="B40" s="3"/>
      <c r="C40" s="127">
        <f>SUM(C41:C50,G41:G50)</f>
        <v>23</v>
      </c>
      <c r="D40" s="6"/>
      <c r="F40" s="31"/>
      <c r="G40" s="80"/>
      <c r="H40" s="80"/>
    </row>
    <row r="41" spans="1:8" x14ac:dyDescent="0.25">
      <c r="A41" s="30" t="s">
        <v>104</v>
      </c>
      <c r="C41" s="78">
        <f t="shared" ref="C41:C50" si="4">COUNTIFS(tt,A41,SuchSpalte,AuswahlFilter1)</f>
        <v>0</v>
      </c>
      <c r="D41" s="78" t="str">
        <f t="shared" ref="D41:D50" si="5">IF(COUNTIFS(tt,A41,SuchSpalte,AuswahlFilter2)=1,"X","")</f>
        <v/>
      </c>
      <c r="F41" s="31" t="s">
        <v>137</v>
      </c>
      <c r="G41" s="78">
        <f t="shared" ref="G41:G50" si="6">COUNTIFS(tt,F41,SuchSpalte,AuswahlFilter1)</f>
        <v>0</v>
      </c>
      <c r="H41" s="78" t="str">
        <f t="shared" ref="H41:H50" si="7">IF(COUNTIFS(tt,F41,SuchSpalte,AuswahlFilter2)=1,"X","")</f>
        <v/>
      </c>
    </row>
    <row r="42" spans="1:8" x14ac:dyDescent="0.25">
      <c r="A42" s="30" t="s">
        <v>128</v>
      </c>
      <c r="C42" s="79">
        <f t="shared" si="4"/>
        <v>4</v>
      </c>
      <c r="D42" s="79" t="str">
        <f t="shared" si="5"/>
        <v/>
      </c>
      <c r="F42" s="31" t="s">
        <v>138</v>
      </c>
      <c r="G42" s="79">
        <f t="shared" si="6"/>
        <v>1</v>
      </c>
      <c r="H42" s="79" t="str">
        <f t="shared" si="7"/>
        <v/>
      </c>
    </row>
    <row r="43" spans="1:8" x14ac:dyDescent="0.25">
      <c r="A43" s="30" t="s">
        <v>129</v>
      </c>
      <c r="C43" s="79">
        <f t="shared" si="4"/>
        <v>1</v>
      </c>
      <c r="D43" s="79" t="str">
        <f t="shared" si="5"/>
        <v/>
      </c>
      <c r="F43" s="31" t="s">
        <v>139</v>
      </c>
      <c r="G43" s="79">
        <f t="shared" si="6"/>
        <v>0</v>
      </c>
      <c r="H43" s="79" t="str">
        <f t="shared" si="7"/>
        <v/>
      </c>
    </row>
    <row r="44" spans="1:8" x14ac:dyDescent="0.25">
      <c r="A44" s="30" t="s">
        <v>130</v>
      </c>
      <c r="C44" s="78">
        <f t="shared" si="4"/>
        <v>0</v>
      </c>
      <c r="D44" s="78" t="str">
        <f t="shared" si="5"/>
        <v/>
      </c>
      <c r="F44" s="31" t="s">
        <v>140</v>
      </c>
      <c r="G44" s="78">
        <f t="shared" si="6"/>
        <v>1</v>
      </c>
      <c r="H44" s="78" t="str">
        <f t="shared" si="7"/>
        <v/>
      </c>
    </row>
    <row r="45" spans="1:8" x14ac:dyDescent="0.25">
      <c r="A45" s="30" t="s">
        <v>131</v>
      </c>
      <c r="C45" s="78">
        <f t="shared" si="4"/>
        <v>1</v>
      </c>
      <c r="D45" s="78" t="str">
        <f t="shared" si="5"/>
        <v/>
      </c>
      <c r="F45" s="31" t="s">
        <v>141</v>
      </c>
      <c r="G45" s="78">
        <f t="shared" si="6"/>
        <v>0</v>
      </c>
      <c r="H45" s="78" t="str">
        <f t="shared" si="7"/>
        <v/>
      </c>
    </row>
    <row r="46" spans="1:8" x14ac:dyDescent="0.25">
      <c r="A46" s="30" t="s">
        <v>132</v>
      </c>
      <c r="C46" s="79">
        <f t="shared" si="4"/>
        <v>7</v>
      </c>
      <c r="D46" s="79" t="str">
        <f t="shared" si="5"/>
        <v/>
      </c>
      <c r="F46" s="31" t="s">
        <v>142</v>
      </c>
      <c r="G46" s="79">
        <f t="shared" si="6"/>
        <v>1</v>
      </c>
      <c r="H46" s="79" t="str">
        <f t="shared" si="7"/>
        <v/>
      </c>
    </row>
    <row r="47" spans="1:8" x14ac:dyDescent="0.25">
      <c r="A47" s="30" t="s">
        <v>133</v>
      </c>
      <c r="C47" s="79">
        <f t="shared" si="4"/>
        <v>2</v>
      </c>
      <c r="D47" s="79" t="str">
        <f t="shared" si="5"/>
        <v/>
      </c>
      <c r="F47" s="31" t="s">
        <v>143</v>
      </c>
      <c r="G47" s="79">
        <f t="shared" si="6"/>
        <v>0</v>
      </c>
      <c r="H47" s="79" t="str">
        <f t="shared" si="7"/>
        <v/>
      </c>
    </row>
    <row r="48" spans="1:8" x14ac:dyDescent="0.25">
      <c r="A48" s="30" t="s">
        <v>134</v>
      </c>
      <c r="C48" s="78">
        <f t="shared" si="4"/>
        <v>0</v>
      </c>
      <c r="D48" s="78" t="str">
        <f t="shared" si="5"/>
        <v/>
      </c>
      <c r="F48" s="31" t="s">
        <v>144</v>
      </c>
      <c r="G48" s="78">
        <f t="shared" si="6"/>
        <v>1</v>
      </c>
      <c r="H48" s="78" t="str">
        <f t="shared" si="7"/>
        <v/>
      </c>
    </row>
    <row r="49" spans="1:8" x14ac:dyDescent="0.25">
      <c r="A49" s="30" t="s">
        <v>135</v>
      </c>
      <c r="C49" s="78">
        <f t="shared" si="4"/>
        <v>0</v>
      </c>
      <c r="D49" s="78" t="str">
        <f t="shared" si="5"/>
        <v/>
      </c>
      <c r="F49" s="31" t="s">
        <v>145</v>
      </c>
      <c r="G49" s="78">
        <f t="shared" si="6"/>
        <v>3</v>
      </c>
      <c r="H49" s="78" t="str">
        <f t="shared" si="7"/>
        <v/>
      </c>
    </row>
    <row r="50" spans="1:8" x14ac:dyDescent="0.25">
      <c r="A50" s="30" t="s">
        <v>136</v>
      </c>
      <c r="C50" s="79">
        <f t="shared" si="4"/>
        <v>1</v>
      </c>
      <c r="D50" s="79" t="str">
        <f t="shared" si="5"/>
        <v/>
      </c>
      <c r="F50" s="31" t="s">
        <v>146</v>
      </c>
      <c r="G50" s="79">
        <f t="shared" si="6"/>
        <v>0</v>
      </c>
      <c r="H50" s="79" t="str">
        <f t="shared" si="7"/>
        <v/>
      </c>
    </row>
    <row r="51" spans="1:8" x14ac:dyDescent="0.25">
      <c r="C51" s="80"/>
      <c r="D51" s="80"/>
      <c r="F51" s="31"/>
      <c r="G51" s="80"/>
      <c r="H51" s="80"/>
    </row>
    <row r="52" spans="1:8" x14ac:dyDescent="0.25">
      <c r="A52" s="3" t="s">
        <v>21</v>
      </c>
      <c r="B52" s="3"/>
      <c r="C52" s="127">
        <f>SUM(C53:C62,G53:G62)</f>
        <v>11</v>
      </c>
      <c r="D52" s="80"/>
      <c r="F52" s="31"/>
      <c r="G52" s="80"/>
      <c r="H52" s="80"/>
    </row>
    <row r="53" spans="1:8" x14ac:dyDescent="0.25">
      <c r="A53" s="30" t="s">
        <v>104</v>
      </c>
      <c r="C53" s="78">
        <f t="shared" ref="C53:C62" si="8">COUNTIFS(tu,A53,SuchSpalte,AuswahlFilter1)</f>
        <v>0</v>
      </c>
      <c r="D53" s="78" t="str">
        <f t="shared" ref="D53:D62" si="9">IF(COUNTIFS(tu,A53,SuchSpalte,AuswahlFilter2)=1,"X","")</f>
        <v/>
      </c>
      <c r="F53" s="31" t="s">
        <v>137</v>
      </c>
      <c r="G53" s="78">
        <f t="shared" ref="G53:G62" si="10">COUNTIFS(tu,F53,SuchSpalte,AuswahlFilter1)</f>
        <v>1</v>
      </c>
      <c r="H53" s="78" t="str">
        <f t="shared" ref="H53:H62" si="11">IF(COUNTIFS(tu,F53,SuchSpalte,AuswahlFilter2)=1,"X","")</f>
        <v/>
      </c>
    </row>
    <row r="54" spans="1:8" x14ac:dyDescent="0.25">
      <c r="A54" s="30" t="s">
        <v>128</v>
      </c>
      <c r="C54" s="79">
        <f t="shared" si="8"/>
        <v>0</v>
      </c>
      <c r="D54" s="79" t="str">
        <f t="shared" si="9"/>
        <v/>
      </c>
      <c r="F54" s="31" t="s">
        <v>138</v>
      </c>
      <c r="G54" s="79">
        <f t="shared" si="10"/>
        <v>1</v>
      </c>
      <c r="H54" s="79" t="str">
        <f t="shared" si="11"/>
        <v/>
      </c>
    </row>
    <row r="55" spans="1:8" x14ac:dyDescent="0.25">
      <c r="A55" s="30" t="s">
        <v>129</v>
      </c>
      <c r="C55" s="79">
        <f t="shared" si="8"/>
        <v>0</v>
      </c>
      <c r="D55" s="79" t="str">
        <f t="shared" si="9"/>
        <v/>
      </c>
      <c r="F55" s="31" t="s">
        <v>139</v>
      </c>
      <c r="G55" s="79">
        <f t="shared" si="10"/>
        <v>0</v>
      </c>
      <c r="H55" s="79" t="str">
        <f t="shared" si="11"/>
        <v/>
      </c>
    </row>
    <row r="56" spans="1:8" x14ac:dyDescent="0.25">
      <c r="A56" s="30" t="s">
        <v>130</v>
      </c>
      <c r="C56" s="78">
        <f t="shared" si="8"/>
        <v>0</v>
      </c>
      <c r="D56" s="78" t="str">
        <f t="shared" si="9"/>
        <v/>
      </c>
      <c r="F56" s="31" t="s">
        <v>140</v>
      </c>
      <c r="G56" s="78">
        <f t="shared" si="10"/>
        <v>0</v>
      </c>
      <c r="H56" s="78" t="str">
        <f t="shared" si="11"/>
        <v/>
      </c>
    </row>
    <row r="57" spans="1:8" x14ac:dyDescent="0.25">
      <c r="A57" s="30" t="s">
        <v>131</v>
      </c>
      <c r="C57" s="78">
        <f t="shared" si="8"/>
        <v>0</v>
      </c>
      <c r="D57" s="78" t="str">
        <f t="shared" si="9"/>
        <v/>
      </c>
      <c r="F57" s="31" t="s">
        <v>141</v>
      </c>
      <c r="G57" s="78">
        <f t="shared" si="10"/>
        <v>2</v>
      </c>
      <c r="H57" s="78" t="str">
        <f t="shared" si="11"/>
        <v/>
      </c>
    </row>
    <row r="58" spans="1:8" x14ac:dyDescent="0.25">
      <c r="A58" s="30" t="s">
        <v>132</v>
      </c>
      <c r="C58" s="79">
        <f t="shared" si="8"/>
        <v>0</v>
      </c>
      <c r="D58" s="79" t="str">
        <f t="shared" si="9"/>
        <v/>
      </c>
      <c r="F58" s="31" t="s">
        <v>142</v>
      </c>
      <c r="G58" s="79">
        <f t="shared" si="10"/>
        <v>4</v>
      </c>
      <c r="H58" s="79" t="str">
        <f t="shared" si="11"/>
        <v/>
      </c>
    </row>
    <row r="59" spans="1:8" x14ac:dyDescent="0.25">
      <c r="A59" s="30" t="s">
        <v>133</v>
      </c>
      <c r="C59" s="79">
        <f t="shared" si="8"/>
        <v>1</v>
      </c>
      <c r="D59" s="79" t="str">
        <f t="shared" si="9"/>
        <v/>
      </c>
      <c r="F59" s="31" t="s">
        <v>143</v>
      </c>
      <c r="G59" s="79">
        <f t="shared" si="10"/>
        <v>0</v>
      </c>
      <c r="H59" s="79" t="str">
        <f t="shared" si="11"/>
        <v/>
      </c>
    </row>
    <row r="60" spans="1:8" x14ac:dyDescent="0.25">
      <c r="A60" s="30" t="s">
        <v>134</v>
      </c>
      <c r="C60" s="78">
        <f t="shared" si="8"/>
        <v>0</v>
      </c>
      <c r="D60" s="78" t="str">
        <f t="shared" si="9"/>
        <v/>
      </c>
      <c r="F60" s="31" t="s">
        <v>144</v>
      </c>
      <c r="G60" s="78">
        <f t="shared" si="10"/>
        <v>0</v>
      </c>
      <c r="H60" s="78" t="str">
        <f t="shared" si="11"/>
        <v/>
      </c>
    </row>
    <row r="61" spans="1:8" x14ac:dyDescent="0.25">
      <c r="A61" s="30" t="s">
        <v>135</v>
      </c>
      <c r="C61" s="78">
        <f t="shared" si="8"/>
        <v>0</v>
      </c>
      <c r="D61" s="78" t="str">
        <f t="shared" si="9"/>
        <v/>
      </c>
      <c r="F61" s="31" t="s">
        <v>145</v>
      </c>
      <c r="G61" s="78">
        <f t="shared" si="10"/>
        <v>2</v>
      </c>
      <c r="H61" s="78" t="str">
        <f t="shared" si="11"/>
        <v/>
      </c>
    </row>
    <row r="62" spans="1:8" x14ac:dyDescent="0.25">
      <c r="A62" s="30" t="s">
        <v>136</v>
      </c>
      <c r="C62" s="79">
        <f t="shared" si="8"/>
        <v>0</v>
      </c>
      <c r="D62" s="79" t="str">
        <f t="shared" si="9"/>
        <v/>
      </c>
      <c r="F62" s="31" t="s">
        <v>146</v>
      </c>
      <c r="G62" s="79">
        <f t="shared" si="10"/>
        <v>0</v>
      </c>
      <c r="H62" s="79" t="str">
        <f t="shared" si="11"/>
        <v/>
      </c>
    </row>
    <row r="63" spans="1:8" x14ac:dyDescent="0.25">
      <c r="C63" s="80"/>
      <c r="D63" s="80"/>
      <c r="F63" s="31"/>
      <c r="G63" s="82"/>
      <c r="H63" s="82"/>
    </row>
    <row r="64" spans="1:8" x14ac:dyDescent="0.25">
      <c r="A64" s="3" t="s">
        <v>22</v>
      </c>
      <c r="B64" s="3"/>
      <c r="C64" s="127">
        <f>SUM(C65:C74,G65:G74)</f>
        <v>1</v>
      </c>
      <c r="D64" s="80"/>
      <c r="F64" s="31"/>
      <c r="G64" s="82"/>
      <c r="H64" s="82"/>
    </row>
    <row r="65" spans="1:8" x14ac:dyDescent="0.25">
      <c r="A65" s="30" t="s">
        <v>104</v>
      </c>
      <c r="C65" s="78">
        <f t="shared" ref="C65:C74" si="12">COUNTIFS(tv,A65,SuchSpalte,AuswahlFilter1)</f>
        <v>0</v>
      </c>
      <c r="D65" s="78" t="str">
        <f t="shared" ref="D65:D74" si="13">IF(COUNTIFS(tv,A65,SuchSpalte,AuswahlFilter2)=1,"X","")</f>
        <v/>
      </c>
      <c r="F65" s="31" t="s">
        <v>137</v>
      </c>
      <c r="G65" s="78">
        <f t="shared" ref="G65:G74" si="14">COUNTIFS(tv,F65,SuchSpalte,AuswahlFilter1)</f>
        <v>0</v>
      </c>
      <c r="H65" s="78" t="str">
        <f t="shared" ref="H65:H74" si="15">IF(COUNTIFS(tv,F65,SuchSpalte,AuswahlFilter2)=1,"X","")</f>
        <v/>
      </c>
    </row>
    <row r="66" spans="1:8" x14ac:dyDescent="0.25">
      <c r="A66" s="30" t="s">
        <v>128</v>
      </c>
      <c r="C66" s="79">
        <f t="shared" si="12"/>
        <v>0</v>
      </c>
      <c r="D66" s="78" t="str">
        <f t="shared" si="13"/>
        <v/>
      </c>
      <c r="F66" s="31" t="s">
        <v>138</v>
      </c>
      <c r="G66" s="79">
        <f t="shared" si="14"/>
        <v>0</v>
      </c>
      <c r="H66" s="78" t="str">
        <f t="shared" si="15"/>
        <v/>
      </c>
    </row>
    <row r="67" spans="1:8" x14ac:dyDescent="0.25">
      <c r="A67" s="30" t="s">
        <v>129</v>
      </c>
      <c r="C67" s="79">
        <f t="shared" si="12"/>
        <v>0</v>
      </c>
      <c r="D67" s="78" t="str">
        <f t="shared" si="13"/>
        <v/>
      </c>
      <c r="F67" s="31" t="s">
        <v>139</v>
      </c>
      <c r="G67" s="79">
        <f t="shared" si="14"/>
        <v>0</v>
      </c>
      <c r="H67" s="78" t="str">
        <f t="shared" si="15"/>
        <v/>
      </c>
    </row>
    <row r="68" spans="1:8" x14ac:dyDescent="0.25">
      <c r="A68" s="30" t="s">
        <v>130</v>
      </c>
      <c r="C68" s="78">
        <f t="shared" si="12"/>
        <v>0</v>
      </c>
      <c r="D68" s="78" t="str">
        <f t="shared" si="13"/>
        <v/>
      </c>
      <c r="F68" s="31" t="s">
        <v>140</v>
      </c>
      <c r="G68" s="78">
        <f t="shared" si="14"/>
        <v>0</v>
      </c>
      <c r="H68" s="78" t="str">
        <f t="shared" si="15"/>
        <v/>
      </c>
    </row>
    <row r="69" spans="1:8" x14ac:dyDescent="0.25">
      <c r="A69" s="30" t="s">
        <v>131</v>
      </c>
      <c r="C69" s="78">
        <f t="shared" si="12"/>
        <v>0</v>
      </c>
      <c r="D69" s="78" t="str">
        <f t="shared" si="13"/>
        <v/>
      </c>
      <c r="F69" s="31" t="s">
        <v>141</v>
      </c>
      <c r="G69" s="78">
        <f t="shared" si="14"/>
        <v>0</v>
      </c>
      <c r="H69" s="78" t="str">
        <f t="shared" si="15"/>
        <v/>
      </c>
    </row>
    <row r="70" spans="1:8" x14ac:dyDescent="0.25">
      <c r="A70" s="30" t="s">
        <v>132</v>
      </c>
      <c r="C70" s="79">
        <f t="shared" si="12"/>
        <v>0</v>
      </c>
      <c r="D70" s="78" t="str">
        <f t="shared" si="13"/>
        <v/>
      </c>
      <c r="F70" s="31" t="s">
        <v>142</v>
      </c>
      <c r="G70" s="79">
        <f t="shared" si="14"/>
        <v>0</v>
      </c>
      <c r="H70" s="78" t="str">
        <f t="shared" si="15"/>
        <v/>
      </c>
    </row>
    <row r="71" spans="1:8" x14ac:dyDescent="0.25">
      <c r="A71" s="30" t="s">
        <v>133</v>
      </c>
      <c r="C71" s="79">
        <f t="shared" si="12"/>
        <v>0</v>
      </c>
      <c r="D71" s="78" t="str">
        <f t="shared" si="13"/>
        <v/>
      </c>
      <c r="F71" s="31" t="s">
        <v>143</v>
      </c>
      <c r="G71" s="79">
        <f t="shared" si="14"/>
        <v>0</v>
      </c>
      <c r="H71" s="78" t="str">
        <f t="shared" si="15"/>
        <v/>
      </c>
    </row>
    <row r="72" spans="1:8" x14ac:dyDescent="0.25">
      <c r="A72" s="30" t="s">
        <v>134</v>
      </c>
      <c r="C72" s="78">
        <f t="shared" si="12"/>
        <v>0</v>
      </c>
      <c r="D72" s="78" t="str">
        <f t="shared" si="13"/>
        <v/>
      </c>
      <c r="F72" s="31" t="s">
        <v>144</v>
      </c>
      <c r="G72" s="78">
        <f t="shared" si="14"/>
        <v>1</v>
      </c>
      <c r="H72" s="78" t="str">
        <f t="shared" si="15"/>
        <v/>
      </c>
    </row>
    <row r="73" spans="1:8" x14ac:dyDescent="0.25">
      <c r="A73" s="30" t="s">
        <v>135</v>
      </c>
      <c r="C73" s="78">
        <f t="shared" si="12"/>
        <v>0</v>
      </c>
      <c r="D73" s="78" t="str">
        <f t="shared" si="13"/>
        <v/>
      </c>
      <c r="F73" s="31" t="s">
        <v>145</v>
      </c>
      <c r="G73" s="78">
        <f t="shared" si="14"/>
        <v>0</v>
      </c>
      <c r="H73" s="78" t="str">
        <f t="shared" si="15"/>
        <v/>
      </c>
    </row>
    <row r="74" spans="1:8" x14ac:dyDescent="0.25">
      <c r="A74" s="30" t="s">
        <v>136</v>
      </c>
      <c r="C74" s="79">
        <f t="shared" si="12"/>
        <v>0</v>
      </c>
      <c r="D74" s="78" t="str">
        <f t="shared" si="13"/>
        <v/>
      </c>
      <c r="F74" s="31" t="s">
        <v>146</v>
      </c>
      <c r="G74" s="79">
        <f t="shared" si="14"/>
        <v>0</v>
      </c>
      <c r="H74" s="78" t="str">
        <f t="shared" si="15"/>
        <v/>
      </c>
    </row>
    <row r="75" spans="1:8" x14ac:dyDescent="0.25">
      <c r="C75" s="80"/>
      <c r="D75" s="80"/>
      <c r="G75" s="80"/>
      <c r="H75" s="80"/>
    </row>
    <row r="76" spans="1:8" x14ac:dyDescent="0.25">
      <c r="C76" s="80"/>
      <c r="D76" s="80"/>
      <c r="G76" s="80"/>
      <c r="H76" s="80"/>
    </row>
    <row r="77" spans="1:8" x14ac:dyDescent="0.25">
      <c r="A77" s="3" t="s">
        <v>147</v>
      </c>
      <c r="B77" s="3"/>
      <c r="C77" s="127">
        <f>SUM(C78:C81,G78:G80)</f>
        <v>86</v>
      </c>
      <c r="D77" s="80"/>
      <c r="G77" s="80"/>
      <c r="H77" s="80"/>
    </row>
    <row r="78" spans="1:8" x14ac:dyDescent="0.25">
      <c r="A78" s="30" t="s">
        <v>148</v>
      </c>
      <c r="C78" s="78">
        <f>COUNTIFS(tx,A78,SuchSpalte,AuswahlFilter1)</f>
        <v>54</v>
      </c>
      <c r="D78" s="78" t="str">
        <f>IF(COUNTIFS(tx,A78,SuchSpalte,AuswahlFilter2)=1,"X","")</f>
        <v/>
      </c>
      <c r="F78" s="30" t="s">
        <v>152</v>
      </c>
      <c r="G78" s="78">
        <f>COUNTIFS(tx,F78,SuchSpalte,AuswahlFilter1)</f>
        <v>0</v>
      </c>
      <c r="H78" s="78" t="str">
        <f>IF(COUNTIFS(tx,F78,SuchSpalte,AuswahlFilter2)=1,"X","")</f>
        <v/>
      </c>
    </row>
    <row r="79" spans="1:8" x14ac:dyDescent="0.25">
      <c r="A79" s="30" t="s">
        <v>149</v>
      </c>
      <c r="C79" s="79">
        <f>COUNTIFS(tx,A79,SuchSpalte,AuswahlFilter1)</f>
        <v>11</v>
      </c>
      <c r="D79" s="79" t="str">
        <f>IF(COUNTIFS(tx,A79,SuchSpalte,AuswahlFilter2)=1,"X","")</f>
        <v/>
      </c>
      <c r="F79" s="30" t="s">
        <v>1628</v>
      </c>
      <c r="G79" s="79">
        <f>COUNTIFS(tx,F79,SuchSpalte,AuswahlFilter1)</f>
        <v>0</v>
      </c>
      <c r="H79" s="79" t="str">
        <f>IF(COUNTIFS(tx,F79,SuchSpalte,AuswahlFilter2)=1,"X","")</f>
        <v/>
      </c>
    </row>
    <row r="80" spans="1:8" x14ac:dyDescent="0.25">
      <c r="A80" s="30" t="s">
        <v>150</v>
      </c>
      <c r="C80" s="79">
        <f>COUNTIFS(tx,A80,SuchSpalte,AuswahlFilter1)</f>
        <v>10</v>
      </c>
      <c r="D80" s="79" t="str">
        <f>IF(COUNTIFS(tx,A80,SuchSpalte,AuswahlFilter2)=1,"X","")</f>
        <v/>
      </c>
      <c r="F80" s="30" t="s">
        <v>154</v>
      </c>
      <c r="G80" s="79">
        <f>COUNTIFS(tx,F80,SuchSpalte,AuswahlFilter1)</f>
        <v>5</v>
      </c>
      <c r="H80" s="79" t="str">
        <f>IF(COUNTIFS(tx,F80,SuchSpalte,AuswahlFilter2)=1,"X","")</f>
        <v/>
      </c>
    </row>
    <row r="81" spans="1:8" x14ac:dyDescent="0.25">
      <c r="A81" s="30" t="s">
        <v>151</v>
      </c>
      <c r="C81" s="78">
        <f>COUNTIFS(tx,A81,SuchSpalte,AuswahlFilter1)</f>
        <v>6</v>
      </c>
      <c r="D81" s="78" t="str">
        <f>IF(COUNTIFS(tx,A81,SuchSpalte,AuswahlFilter2)=1,"X","")</f>
        <v/>
      </c>
      <c r="G81" s="82"/>
      <c r="H81" s="82"/>
    </row>
    <row r="82" spans="1:8" x14ac:dyDescent="0.25">
      <c r="G82" s="5"/>
      <c r="H82" s="5"/>
    </row>
    <row r="83" spans="1:8" x14ac:dyDescent="0.25">
      <c r="G83" s="5"/>
      <c r="H83" s="5"/>
    </row>
    <row r="84" spans="1:8" x14ac:dyDescent="0.25">
      <c r="A84" s="3" t="s">
        <v>155</v>
      </c>
      <c r="C84" s="3"/>
      <c r="G84" s="127">
        <f>SUM(G85:G88)</f>
        <v>87</v>
      </c>
      <c r="H84" s="5"/>
    </row>
    <row r="85" spans="1:8" x14ac:dyDescent="0.25">
      <c r="A85" s="13" t="s">
        <v>156</v>
      </c>
      <c r="B85" s="13"/>
      <c r="C85" s="13"/>
      <c r="D85" s="13"/>
      <c r="E85" s="13"/>
      <c r="F85" s="13"/>
      <c r="G85" s="78">
        <f>COUNTIFS(ty,A85,SuchSpalte,AuswahlFilter1)</f>
        <v>30</v>
      </c>
      <c r="H85" s="78" t="str">
        <f>IF(COUNTIFS(ty,A85,SuchSpalte,AuswahlFilter2)=1,"X","")</f>
        <v/>
      </c>
    </row>
    <row r="86" spans="1:8" x14ac:dyDescent="0.25">
      <c r="A86" s="158" t="s">
        <v>157</v>
      </c>
      <c r="B86" s="158"/>
      <c r="C86" s="158"/>
      <c r="D86" s="158"/>
      <c r="E86" s="158"/>
      <c r="F86" s="158"/>
      <c r="G86" s="79">
        <f>COUNTIFS(ty,A86,SuchSpalte,AuswahlFilter1)</f>
        <v>31</v>
      </c>
      <c r="H86" s="79" t="str">
        <f>IF(COUNTIFS(ty,A86,SuchSpalte,AuswahlFilter2)=1,"X","")</f>
        <v/>
      </c>
    </row>
    <row r="87" spans="1:8" x14ac:dyDescent="0.25">
      <c r="A87" s="158" t="s">
        <v>158</v>
      </c>
      <c r="B87" s="158"/>
      <c r="C87" s="158"/>
      <c r="D87" s="158"/>
      <c r="E87" s="158"/>
      <c r="F87" s="158"/>
      <c r="G87" s="79">
        <f>COUNTIFS(ty,A87,SuchSpalte,AuswahlFilter1)</f>
        <v>15</v>
      </c>
      <c r="H87" s="79" t="str">
        <f>IF(COUNTIFS(ty,A87,SuchSpalte,AuswahlFilter2)=1,"X","")</f>
        <v/>
      </c>
    </row>
    <row r="88" spans="1:8" x14ac:dyDescent="0.25">
      <c r="A88" s="13" t="s">
        <v>159</v>
      </c>
      <c r="B88" s="13"/>
      <c r="C88" s="13"/>
      <c r="D88" s="13"/>
      <c r="E88" s="13"/>
      <c r="F88" s="13"/>
      <c r="G88" s="78">
        <f>COUNTIFS(ty,A88,SuchSpalte,AuswahlFilter1)</f>
        <v>11</v>
      </c>
      <c r="H88" s="78" t="str">
        <f>IF(COUNTIFS(ty,A88,SuchSpalte,AuswahlFilter2)=1,"X","")</f>
        <v/>
      </c>
    </row>
    <row r="89" spans="1:8" x14ac:dyDescent="0.25">
      <c r="G89" s="80"/>
      <c r="H89" s="80"/>
    </row>
    <row r="90" spans="1:8" x14ac:dyDescent="0.25">
      <c r="G90" s="82"/>
      <c r="H90" s="82"/>
    </row>
    <row r="91" spans="1:8" x14ac:dyDescent="0.25">
      <c r="A91" s="3" t="s">
        <v>160</v>
      </c>
      <c r="C91" s="13"/>
      <c r="G91" s="127">
        <f>SUM(G92:G104)</f>
        <v>87</v>
      </c>
      <c r="H91" s="82"/>
    </row>
    <row r="92" spans="1:8" x14ac:dyDescent="0.25">
      <c r="A92" s="13" t="s">
        <v>161</v>
      </c>
      <c r="B92" s="13"/>
      <c r="C92" s="13"/>
      <c r="F92" s="32"/>
      <c r="G92" s="78">
        <f t="shared" ref="G92:G104" si="16">COUNTIFS(taf,A92,SuchSpalte,AuswahlFilter1)</f>
        <v>49</v>
      </c>
      <c r="H92" s="78" t="str">
        <f t="shared" ref="H92:H104" si="17">IF(COUNTIFS(taf,A92,SuchSpalte,AuswahlFilter2)=1,"X","")</f>
        <v/>
      </c>
    </row>
    <row r="93" spans="1:8" x14ac:dyDescent="0.25">
      <c r="A93" s="13" t="s">
        <v>162</v>
      </c>
      <c r="B93" s="13"/>
      <c r="C93" s="13"/>
      <c r="D93" s="13"/>
      <c r="E93" s="13"/>
      <c r="F93" s="32"/>
      <c r="G93" s="79">
        <f t="shared" si="16"/>
        <v>14</v>
      </c>
      <c r="H93" s="79" t="str">
        <f t="shared" si="17"/>
        <v/>
      </c>
    </row>
    <row r="94" spans="1:8" x14ac:dyDescent="0.25">
      <c r="A94" s="13" t="s">
        <v>163</v>
      </c>
      <c r="B94" s="13"/>
      <c r="C94" s="13"/>
      <c r="D94" s="13"/>
      <c r="E94" s="13"/>
      <c r="F94" s="32"/>
      <c r="G94" s="79">
        <f t="shared" si="16"/>
        <v>13</v>
      </c>
      <c r="H94" s="79" t="str">
        <f t="shared" si="17"/>
        <v/>
      </c>
    </row>
    <row r="95" spans="1:8" x14ac:dyDescent="0.25">
      <c r="A95" s="13" t="s">
        <v>164</v>
      </c>
      <c r="B95" s="13"/>
      <c r="C95" s="120"/>
      <c r="D95" s="120"/>
      <c r="E95" s="120"/>
      <c r="F95" s="32"/>
      <c r="G95" s="78">
        <f t="shared" si="16"/>
        <v>1</v>
      </c>
      <c r="H95" s="78" t="str">
        <f t="shared" si="17"/>
        <v/>
      </c>
    </row>
    <row r="96" spans="1:8" x14ac:dyDescent="0.25">
      <c r="A96" s="13" t="s">
        <v>125</v>
      </c>
      <c r="B96" s="13"/>
      <c r="C96" s="13"/>
      <c r="D96" s="13"/>
      <c r="E96" s="13"/>
      <c r="F96" s="32"/>
      <c r="G96" s="79">
        <f t="shared" si="16"/>
        <v>0</v>
      </c>
      <c r="H96" s="79" t="str">
        <f t="shared" si="17"/>
        <v/>
      </c>
    </row>
    <row r="97" spans="1:9" x14ac:dyDescent="0.25">
      <c r="A97" s="13" t="s">
        <v>165</v>
      </c>
      <c r="B97" s="13"/>
      <c r="C97" s="13"/>
      <c r="D97" s="13"/>
      <c r="E97" s="13"/>
      <c r="F97" s="32"/>
      <c r="G97" s="79">
        <f t="shared" si="16"/>
        <v>4</v>
      </c>
      <c r="H97" s="79" t="str">
        <f t="shared" si="17"/>
        <v/>
      </c>
    </row>
    <row r="98" spans="1:9" x14ac:dyDescent="0.25">
      <c r="A98" s="13" t="s">
        <v>166</v>
      </c>
      <c r="B98" s="13"/>
      <c r="C98" s="13"/>
      <c r="D98" s="13"/>
      <c r="E98" s="13"/>
      <c r="F98" s="32"/>
      <c r="G98" s="78">
        <f t="shared" si="16"/>
        <v>1</v>
      </c>
      <c r="H98" s="78" t="str">
        <f t="shared" si="17"/>
        <v/>
      </c>
      <c r="I98" s="13"/>
    </row>
    <row r="99" spans="1:9" x14ac:dyDescent="0.25">
      <c r="A99" s="13" t="s">
        <v>167</v>
      </c>
      <c r="B99" s="13"/>
      <c r="C99" s="13"/>
      <c r="D99" s="13"/>
      <c r="E99" s="13"/>
      <c r="F99" s="32"/>
      <c r="G99" s="79">
        <f t="shared" si="16"/>
        <v>1</v>
      </c>
      <c r="H99" s="79" t="str">
        <f t="shared" si="17"/>
        <v/>
      </c>
      <c r="I99" s="13"/>
    </row>
    <row r="100" spans="1:9" x14ac:dyDescent="0.25">
      <c r="A100" s="13" t="s">
        <v>168</v>
      </c>
      <c r="B100" s="13"/>
      <c r="C100" s="13"/>
      <c r="D100" s="13"/>
      <c r="E100" s="13"/>
      <c r="F100" s="32"/>
      <c r="G100" s="79">
        <f t="shared" si="16"/>
        <v>1</v>
      </c>
      <c r="H100" s="79" t="str">
        <f t="shared" si="17"/>
        <v/>
      </c>
      <c r="I100" s="13"/>
    </row>
    <row r="101" spans="1:9" x14ac:dyDescent="0.25">
      <c r="A101" s="13" t="s">
        <v>169</v>
      </c>
      <c r="B101" s="13"/>
      <c r="C101" s="13"/>
      <c r="D101" s="13"/>
      <c r="E101" s="13"/>
      <c r="F101" s="32"/>
      <c r="G101" s="78">
        <f t="shared" si="16"/>
        <v>0</v>
      </c>
      <c r="H101" s="78" t="str">
        <f t="shared" si="17"/>
        <v/>
      </c>
      <c r="I101" s="13"/>
    </row>
    <row r="102" spans="1:9" x14ac:dyDescent="0.25">
      <c r="A102" s="13" t="s">
        <v>170</v>
      </c>
      <c r="B102" s="13"/>
      <c r="C102" s="13"/>
      <c r="D102" s="13"/>
      <c r="E102" s="13"/>
      <c r="F102" s="32"/>
      <c r="G102" s="79">
        <f t="shared" si="16"/>
        <v>0</v>
      </c>
      <c r="H102" s="79" t="str">
        <f t="shared" si="17"/>
        <v/>
      </c>
      <c r="I102" s="13"/>
    </row>
    <row r="103" spans="1:9" x14ac:dyDescent="0.25">
      <c r="A103" s="13" t="s">
        <v>171</v>
      </c>
      <c r="B103" s="13"/>
      <c r="C103" s="13"/>
      <c r="D103" s="13"/>
      <c r="E103" s="13"/>
      <c r="F103" s="32"/>
      <c r="G103" s="79">
        <f t="shared" si="16"/>
        <v>0</v>
      </c>
      <c r="H103" s="79" t="str">
        <f t="shared" si="17"/>
        <v/>
      </c>
      <c r="I103" s="13"/>
    </row>
    <row r="104" spans="1:9" x14ac:dyDescent="0.25">
      <c r="A104" s="13" t="s">
        <v>154</v>
      </c>
      <c r="B104" s="13"/>
      <c r="C104" s="13"/>
      <c r="D104" s="13"/>
      <c r="E104" s="13"/>
      <c r="F104" s="32"/>
      <c r="G104" s="79">
        <f t="shared" si="16"/>
        <v>3</v>
      </c>
      <c r="H104" s="79" t="str">
        <f t="shared" si="17"/>
        <v/>
      </c>
      <c r="I104" s="13"/>
    </row>
    <row r="105" spans="1:9" x14ac:dyDescent="0.25">
      <c r="A105" s="13"/>
      <c r="B105" s="13"/>
      <c r="C105" s="13"/>
      <c r="D105" s="13"/>
      <c r="E105" s="13"/>
      <c r="F105" s="32"/>
      <c r="G105" s="32"/>
      <c r="H105" s="13"/>
      <c r="I105" s="13"/>
    </row>
    <row r="106" spans="1:9" x14ac:dyDescent="0.25">
      <c r="A106" s="13"/>
      <c r="B106" s="13"/>
      <c r="C106" s="13"/>
      <c r="D106" s="13"/>
      <c r="E106" s="13"/>
      <c r="F106" s="32"/>
      <c r="G106" s="32"/>
      <c r="H106" s="13"/>
      <c r="I106" s="13"/>
    </row>
    <row r="108" spans="1:9" x14ac:dyDescent="0.25">
      <c r="A108" s="3" t="s">
        <v>172</v>
      </c>
      <c r="C108" s="127">
        <f>SUM(C109:C111,G109:G111)</f>
        <v>77</v>
      </c>
    </row>
    <row r="109" spans="1:9" x14ac:dyDescent="0.25">
      <c r="A109" s="10" t="s">
        <v>173</v>
      </c>
      <c r="B109" s="10"/>
      <c r="C109" s="78">
        <f>COUNTIFS(tag,A109,SuchSpalte,AuswahlFilter1)</f>
        <v>1</v>
      </c>
      <c r="D109" s="78" t="str">
        <f>IF(COUNTIFS(tag,A109,SuchSpalte,AuswahlFilter2)=1,"X","")</f>
        <v/>
      </c>
      <c r="F109" s="10" t="s">
        <v>176</v>
      </c>
      <c r="G109" s="78">
        <f>COUNTIFS(tag,F109,SuchSpalte,AuswahlFilter1)</f>
        <v>13</v>
      </c>
      <c r="H109" s="78" t="str">
        <f>IF(COUNTIFS(tag,F109,SuchSpalte,AuswahlFilter2)=1,"X","")</f>
        <v/>
      </c>
    </row>
    <row r="110" spans="1:9" x14ac:dyDescent="0.25">
      <c r="A110" s="10" t="s">
        <v>174</v>
      </c>
      <c r="B110" s="10"/>
      <c r="C110" s="79">
        <f>COUNTIFS(tag,A110,SuchSpalte,AuswahlFilter1)</f>
        <v>2</v>
      </c>
      <c r="D110" s="79" t="str">
        <f>IF(COUNTIFS(tag,A110,SuchSpalte,AuswahlFilter2)=1,"X","")</f>
        <v/>
      </c>
      <c r="F110" s="10" t="s">
        <v>177</v>
      </c>
      <c r="G110" s="79">
        <f>COUNTIFS(tag,F110,SuchSpalte,AuswahlFilter1)</f>
        <v>48</v>
      </c>
      <c r="H110" s="79" t="str">
        <f>IF(COUNTIFS(tag,F110,SuchSpalte,AuswahlFilter2)=1,"X","")</f>
        <v/>
      </c>
    </row>
    <row r="111" spans="1:9" x14ac:dyDescent="0.25">
      <c r="A111" s="10" t="s">
        <v>175</v>
      </c>
      <c r="B111" s="10"/>
      <c r="C111" s="79">
        <f>COUNTIFS(tag,A111,SuchSpalte,AuswahlFilter1)</f>
        <v>1</v>
      </c>
      <c r="D111" s="79" t="str">
        <f>IF(COUNTIFS(tag,A111,SuchSpalte,AuswahlFilter2)=1,"X","")</f>
        <v/>
      </c>
      <c r="F111" s="10" t="s">
        <v>178</v>
      </c>
      <c r="G111" s="79">
        <f>COUNTIFS(tag,F111,SuchSpalte,AuswahlFilter1)</f>
        <v>12</v>
      </c>
      <c r="H111" s="79" t="str">
        <f>IF(COUNTIFS(tag,F111,SuchSpalte,AuswahlFilter2)=1,"X","")</f>
        <v/>
      </c>
    </row>
    <row r="113" spans="1:12" x14ac:dyDescent="0.25">
      <c r="A113" s="163" t="s">
        <v>1623</v>
      </c>
      <c r="B113" s="163"/>
      <c r="C113" s="163"/>
      <c r="D113" s="163"/>
      <c r="E113" s="163"/>
      <c r="F113" s="163"/>
      <c r="G113" s="163"/>
      <c r="H113" s="163"/>
      <c r="I113" s="123"/>
      <c r="J113" s="33"/>
      <c r="K113" s="123"/>
      <c r="L113" s="123"/>
    </row>
    <row r="114" spans="1:12" x14ac:dyDescent="0.25">
      <c r="A114" s="3" t="s">
        <v>1622</v>
      </c>
      <c r="B114" s="123"/>
      <c r="C114" s="127">
        <f>SUM(C115:C118,G115:G118)</f>
        <v>84</v>
      </c>
      <c r="D114" s="123"/>
      <c r="E114" s="123"/>
      <c r="F114" s="123"/>
      <c r="G114" s="123"/>
      <c r="H114" s="123"/>
      <c r="I114" s="123"/>
      <c r="J114" s="33"/>
      <c r="K114" s="123"/>
      <c r="L114" s="123"/>
    </row>
    <row r="115" spans="1:12" x14ac:dyDescent="0.25">
      <c r="A115" s="10" t="s">
        <v>179</v>
      </c>
      <c r="B115" s="10"/>
      <c r="C115" s="78">
        <f>COUNTIFS(tah,A115,SuchSpalte,AuswahlFilter1)</f>
        <v>2</v>
      </c>
      <c r="D115" s="78" t="str">
        <f>IF(COUNTIFS(tah,A115,SuchSpalte,AuswahlFilter2)=1,"X","")</f>
        <v/>
      </c>
      <c r="F115" s="36" t="s">
        <v>183</v>
      </c>
      <c r="G115" s="78">
        <f>COUNTIFS(tah,F115,SuchSpalte,AuswahlFilter1)</f>
        <v>17</v>
      </c>
      <c r="H115" s="78" t="str">
        <f>IF(COUNTIFS(tah,F115,SuchSpalte,AuswahlFilter2)=1,"X","")</f>
        <v/>
      </c>
    </row>
    <row r="116" spans="1:12" x14ac:dyDescent="0.25">
      <c r="A116" s="10" t="s">
        <v>180</v>
      </c>
      <c r="B116" s="10"/>
      <c r="C116" s="79">
        <f>COUNTIFS(tah,A116,SuchSpalte,AuswahlFilter1)</f>
        <v>6</v>
      </c>
      <c r="D116" s="79" t="str">
        <f>IF(COUNTIFS(tah,A116,SuchSpalte,AuswahlFilter2)=1,"X","")</f>
        <v/>
      </c>
      <c r="F116" s="36" t="s">
        <v>184</v>
      </c>
      <c r="G116" s="79">
        <f>COUNTIFS(tah,F116,SuchSpalte,AuswahlFilter1)</f>
        <v>13</v>
      </c>
      <c r="H116" s="79" t="str">
        <f>IF(COUNTIFS(tah,F116,SuchSpalte,AuswahlFilter2)=1,"X","")</f>
        <v/>
      </c>
    </row>
    <row r="117" spans="1:12" x14ac:dyDescent="0.25">
      <c r="A117" s="10" t="s">
        <v>181</v>
      </c>
      <c r="B117" s="10"/>
      <c r="C117" s="79">
        <f>COUNTIFS(tah,A117,SuchSpalte,AuswahlFilter1)</f>
        <v>13</v>
      </c>
      <c r="D117" s="79" t="str">
        <f>IF(COUNTIFS(tah,A117,SuchSpalte,AuswahlFilter2)=1,"X","")</f>
        <v/>
      </c>
      <c r="F117" s="36" t="s">
        <v>185</v>
      </c>
      <c r="G117" s="79">
        <f>COUNTIFS(tah,F117,SuchSpalte,AuswahlFilter1)</f>
        <v>6</v>
      </c>
      <c r="H117" s="79" t="str">
        <f>IF(COUNTIFS(tah,F117,SuchSpalte,AuswahlFilter2)=1,"X","")</f>
        <v/>
      </c>
    </row>
    <row r="118" spans="1:12" x14ac:dyDescent="0.25">
      <c r="A118" s="10" t="s">
        <v>182</v>
      </c>
      <c r="B118" s="10"/>
      <c r="C118" s="78">
        <f>COUNTIFS(tah,A118,SuchSpalte,AuswahlFilter1)</f>
        <v>21</v>
      </c>
      <c r="D118" s="78" t="str">
        <f>IF(COUNTIFS(tah,A118,SuchSpalte,AuswahlFilter2)=1,"X","")</f>
        <v/>
      </c>
      <c r="F118" s="36" t="s">
        <v>186</v>
      </c>
      <c r="G118" s="78">
        <f>COUNTIFS(tah,F118,SuchSpalte,AuswahlFilter1)</f>
        <v>6</v>
      </c>
      <c r="H118" s="78" t="str">
        <f>IF(COUNTIFS(tah,F118,SuchSpalte,AuswahlFilter2)=1,"X","")</f>
        <v/>
      </c>
    </row>
    <row r="119" spans="1:12" x14ac:dyDescent="0.25">
      <c r="F119" s="31"/>
      <c r="G119" s="64"/>
      <c r="H119" s="65"/>
    </row>
    <row r="120" spans="1:12" x14ac:dyDescent="0.25">
      <c r="F120" s="31"/>
      <c r="G120" s="64"/>
      <c r="H120" s="65"/>
    </row>
    <row r="121" spans="1:12" x14ac:dyDescent="0.25">
      <c r="A121" s="3" t="s">
        <v>221</v>
      </c>
      <c r="B121" s="3"/>
      <c r="C121" s="3"/>
      <c r="F121" s="31"/>
      <c r="H121" s="65"/>
    </row>
    <row r="122" spans="1:12" x14ac:dyDescent="0.25">
      <c r="B122" s="3"/>
      <c r="C122" s="127">
        <f>SUM(C123:C125,G123:G125)</f>
        <v>84</v>
      </c>
      <c r="F122" s="31"/>
      <c r="G122" s="65"/>
      <c r="H122" s="65"/>
    </row>
    <row r="123" spans="1:12" x14ac:dyDescent="0.25">
      <c r="A123" s="30" t="s">
        <v>187</v>
      </c>
      <c r="C123" s="78">
        <f>COUNTIFS(taj,A123,SuchSpalte,AuswahlFilter1)</f>
        <v>46</v>
      </c>
      <c r="D123" s="78" t="str">
        <f>IF(COUNTIFS(taj,A123,SuchSpalte,AuswahlFilter2)=1,"X","")</f>
        <v/>
      </c>
      <c r="F123" s="31" t="s">
        <v>190</v>
      </c>
      <c r="G123" s="78">
        <f>COUNTIFS(taj,F123,SuchSpalte,AuswahlFilter1)</f>
        <v>4</v>
      </c>
      <c r="H123" s="78" t="str">
        <f>IF(COUNTIFS(taj,F123,SuchSpalte,AuswahlFilter2)=1,"X","")</f>
        <v/>
      </c>
    </row>
    <row r="124" spans="1:12" x14ac:dyDescent="0.25">
      <c r="A124" s="12" t="s">
        <v>188</v>
      </c>
      <c r="B124" s="12"/>
      <c r="C124" s="79">
        <f>COUNTIFS(taj,A124,SuchSpalte,AuswahlFilter1)</f>
        <v>15</v>
      </c>
      <c r="D124" s="79" t="str">
        <f>IF(COUNTIFS(taj,A124,SuchSpalte,AuswahlFilter2)=1,"X","")</f>
        <v/>
      </c>
      <c r="F124" s="31" t="s">
        <v>191</v>
      </c>
      <c r="G124" s="79">
        <f>COUNTIFS(taj,F124,SuchSpalte,AuswahlFilter1)</f>
        <v>5</v>
      </c>
      <c r="H124" s="79" t="str">
        <f>IF(COUNTIFS(taj,F124,SuchSpalte,AuswahlFilter2)=1,"X","")</f>
        <v/>
      </c>
    </row>
    <row r="125" spans="1:12" x14ac:dyDescent="0.25">
      <c r="A125" s="30" t="s">
        <v>189</v>
      </c>
      <c r="C125" s="79">
        <f>COUNTIFS(taj,A125,SuchSpalte,AuswahlFilter1)</f>
        <v>5</v>
      </c>
      <c r="D125" s="79" t="str">
        <f>IF(COUNTIFS(taj,A125,SuchSpalte,AuswahlFilter2)=1,"X","")</f>
        <v/>
      </c>
      <c r="F125" s="31" t="s">
        <v>192</v>
      </c>
      <c r="G125" s="79">
        <f>COUNTIFS(taj,F125,SuchSpalte,AuswahlFilter1)</f>
        <v>9</v>
      </c>
      <c r="H125" s="79" t="str">
        <f>IF(COUNTIFS(taj,F125,SuchSpalte,AuswahlFilter2)=1,"X","")</f>
        <v/>
      </c>
    </row>
    <row r="126" spans="1:12" x14ac:dyDescent="0.25">
      <c r="F126" s="31"/>
    </row>
    <row r="128" spans="1:12" x14ac:dyDescent="0.25">
      <c r="A128" s="163" t="s">
        <v>222</v>
      </c>
      <c r="B128" s="163"/>
      <c r="C128" s="163"/>
      <c r="D128" s="163"/>
      <c r="E128" s="163"/>
      <c r="F128" s="163"/>
      <c r="G128" s="163"/>
      <c r="H128" s="163"/>
      <c r="I128" s="163"/>
      <c r="K128" s="123"/>
    </row>
    <row r="129" spans="1:16" ht="15" customHeight="1" x14ac:dyDescent="0.25">
      <c r="A129" s="123"/>
      <c r="B129" s="123"/>
      <c r="C129" s="123"/>
      <c r="D129" s="123"/>
      <c r="E129" s="123"/>
      <c r="F129" s="123"/>
      <c r="G129" s="129">
        <f>SUM(G130:G140)</f>
        <v>168</v>
      </c>
      <c r="H129" s="123"/>
      <c r="I129" s="123"/>
      <c r="K129" s="123"/>
    </row>
    <row r="130" spans="1:16" x14ac:dyDescent="0.25">
      <c r="A130" s="30" t="s">
        <v>33</v>
      </c>
      <c r="G130" s="78">
        <f>COUNTIFS(tal,TRUE,SuchSpalte,AuswahlFilter1)</f>
        <v>41</v>
      </c>
      <c r="H130" s="78" t="str">
        <f>IF(COUNTIFS(tal,TRUE,SuchSpalte,AuswahlFilter2)=1,"X","")</f>
        <v/>
      </c>
      <c r="P130" s="111">
        <f>COUNTIFS(tal,TRUE,SuchSpalte,AuswahlFilter1)</f>
        <v>41</v>
      </c>
    </row>
    <row r="131" spans="1:16" x14ac:dyDescent="0.25">
      <c r="A131" s="30" t="s">
        <v>34</v>
      </c>
      <c r="G131" s="79">
        <f>COUNTIFS(tam,TRUE,SuchSpalte,AuswahlFilter1)</f>
        <v>19</v>
      </c>
      <c r="H131" s="79" t="str">
        <f>IF(COUNTIFS(tam,TRUE,SuchSpalte,AuswahlFilter2)=1,"X","")</f>
        <v/>
      </c>
      <c r="P131" s="111">
        <f>COUNTIFS(tam,TRUE,SuchSpalte,AuswahlFilter1)</f>
        <v>19</v>
      </c>
    </row>
    <row r="132" spans="1:16" x14ac:dyDescent="0.25">
      <c r="A132" s="4" t="s">
        <v>35</v>
      </c>
      <c r="B132" s="4"/>
      <c r="C132" s="4"/>
      <c r="G132" s="79">
        <f>COUNTIFS(tan,TRUE,SuchSpalte,AuswahlFilter1)</f>
        <v>9</v>
      </c>
      <c r="H132" s="79" t="str">
        <f>IF(COUNTIFS(tan,TRUE,SuchSpalte,AuswahlFilter2)=1,"X","")</f>
        <v/>
      </c>
      <c r="P132" s="111">
        <f>COUNTIFS(tan,TRUE,SuchSpalte,AuswahlFilter1)</f>
        <v>9</v>
      </c>
    </row>
    <row r="133" spans="1:16" x14ac:dyDescent="0.25">
      <c r="A133" s="4" t="s">
        <v>36</v>
      </c>
      <c r="B133" s="4"/>
      <c r="C133" s="4"/>
      <c r="G133" s="79">
        <f>COUNTIFS(tao,TRUE,SuchSpalte,AuswahlFilter1)</f>
        <v>1</v>
      </c>
      <c r="H133" s="79" t="str">
        <f>IF(COUNTIFS(tao,TRUE,SuchSpalte,AuswahlFilter2)=1,"X","")</f>
        <v/>
      </c>
      <c r="P133" s="111">
        <f>COUNTIFS(tao,TRUE,SuchSpalte,AuswahlFilter1)</f>
        <v>1</v>
      </c>
    </row>
    <row r="134" spans="1:16" x14ac:dyDescent="0.25">
      <c r="A134" s="161" t="s">
        <v>37</v>
      </c>
      <c r="B134" s="161"/>
      <c r="C134" s="161"/>
      <c r="D134" s="161"/>
      <c r="E134" s="161"/>
      <c r="F134" s="161"/>
      <c r="G134" s="78">
        <f>COUNTIFS(tap,TRUE,SuchSpalte,AuswahlFilter1)</f>
        <v>5</v>
      </c>
      <c r="H134" s="78" t="str">
        <f>IF(COUNTIFS(tap,TRUE,SuchSpalte,AuswahlFilter2)=1,"X","")</f>
        <v/>
      </c>
      <c r="P134" s="111">
        <f>COUNTIFS(tap,TRUE,SuchSpalte,AuswahlFilter1)</f>
        <v>5</v>
      </c>
    </row>
    <row r="135" spans="1:16" x14ac:dyDescent="0.25">
      <c r="A135" s="161" t="s">
        <v>38</v>
      </c>
      <c r="B135" s="161"/>
      <c r="C135" s="161"/>
      <c r="D135" s="161"/>
      <c r="E135" s="161"/>
      <c r="F135" s="161"/>
      <c r="G135" s="79">
        <f>COUNTIFS(taq,TRUE,SuchSpalte,AuswahlFilter1)</f>
        <v>18</v>
      </c>
      <c r="H135" s="79" t="str">
        <f>IF(COUNTIFS(taq,TRUE,SuchSpalte,AuswahlFilter2)=1,"X","")</f>
        <v/>
      </c>
      <c r="P135" s="111">
        <f>COUNTIFS(taq,TRUE,SuchSpalte,AuswahlFilter1)</f>
        <v>18</v>
      </c>
    </row>
    <row r="136" spans="1:16" x14ac:dyDescent="0.25">
      <c r="G136" s="80"/>
      <c r="H136" s="80"/>
      <c r="P136" s="112"/>
    </row>
    <row r="137" spans="1:16" x14ac:dyDescent="0.25">
      <c r="A137" s="4" t="s">
        <v>39</v>
      </c>
      <c r="B137" s="4"/>
      <c r="C137" s="4"/>
      <c r="G137" s="78">
        <f>COUNTIFS(tar,TRUE,SuchSpalte,AuswahlFilter1)</f>
        <v>43</v>
      </c>
      <c r="H137" s="78" t="str">
        <f>IF(COUNTIFS(tar,TRUE,SuchSpalte,AuswahlFilter2)=1,"X","")</f>
        <v/>
      </c>
      <c r="P137" s="111">
        <f>COUNTIFS(tar,TRUE,SuchSpalte,AuswahlFilter1)</f>
        <v>43</v>
      </c>
    </row>
    <row r="138" spans="1:16" x14ac:dyDescent="0.25">
      <c r="A138" s="4" t="s">
        <v>40</v>
      </c>
      <c r="B138" s="4"/>
      <c r="C138" s="4"/>
      <c r="G138" s="79">
        <f>COUNTIFS(tas,TRUE,SuchSpalte,AuswahlFilter1)</f>
        <v>26</v>
      </c>
      <c r="H138" s="79" t="str">
        <f>IF(COUNTIFS(tas,TRUE,SuchSpalte,AuswahlFilter2)=1,"X","")</f>
        <v/>
      </c>
      <c r="P138" s="111">
        <f>COUNTIFS(tas,TRUE,SuchSpalte,AuswahlFilter1)</f>
        <v>26</v>
      </c>
    </row>
    <row r="139" spans="1:16" x14ac:dyDescent="0.25">
      <c r="A139" s="4" t="s">
        <v>41</v>
      </c>
      <c r="B139" s="4"/>
      <c r="C139" s="4"/>
      <c r="G139" s="79">
        <f>COUNTIFS(tat,TRUE,SuchSpalte,AuswahlFilter1)</f>
        <v>0</v>
      </c>
      <c r="H139" s="79" t="str">
        <f>IF(COUNTIFS(tat,TRUE,SuchSpalte,AuswahlFilter2)=1,"X","")</f>
        <v/>
      </c>
      <c r="P139" s="111">
        <f>COUNTIFS(tat,TRUE,SuchSpalte,AuswahlFilter1)</f>
        <v>0</v>
      </c>
    </row>
    <row r="140" spans="1:16" x14ac:dyDescent="0.25">
      <c r="A140" s="4" t="s">
        <v>42</v>
      </c>
      <c r="B140" s="4"/>
      <c r="C140" s="4"/>
      <c r="G140" s="79">
        <f>COUNTIFS(tau,TRUE,SuchSpalte,AuswahlFilter1)</f>
        <v>6</v>
      </c>
      <c r="H140" s="79" t="str">
        <f>IF(COUNTIFS(tau,TRUE,SuchSpalte,AuswahlFilter2)=1,"X","")</f>
        <v/>
      </c>
      <c r="P140" s="111">
        <f>COUNTIFS(tau,TRUE,SuchSpalte,AuswahlFilter1)</f>
        <v>6</v>
      </c>
    </row>
    <row r="141" spans="1:16" x14ac:dyDescent="0.25">
      <c r="A141" s="12"/>
      <c r="B141" s="12"/>
      <c r="C141" s="12"/>
      <c r="F141" s="6"/>
      <c r="G141" s="80"/>
      <c r="H141" s="80"/>
    </row>
    <row r="142" spans="1:16" x14ac:dyDescent="0.25">
      <c r="F142" s="6"/>
      <c r="G142" s="80"/>
      <c r="H142" s="80"/>
    </row>
    <row r="143" spans="1:16" x14ac:dyDescent="0.25">
      <c r="A143" s="3" t="s">
        <v>1026</v>
      </c>
      <c r="B143" s="3"/>
      <c r="C143" s="3"/>
      <c r="G143" s="127">
        <f>SUM(G144:G147)</f>
        <v>84</v>
      </c>
      <c r="H143" s="80"/>
    </row>
    <row r="144" spans="1:16" x14ac:dyDescent="0.25">
      <c r="A144" s="30" t="s">
        <v>33</v>
      </c>
      <c r="G144" s="78">
        <f>COUNTIFS(tav,A144,SuchSpalte,AuswahlFilter1)</f>
        <v>5</v>
      </c>
      <c r="H144" s="78" t="str">
        <f>IF(COUNTIFS(tav,A144,SuchSpalte,AuswahlFilter2)=1,"X","")</f>
        <v/>
      </c>
    </row>
    <row r="145" spans="1:12" x14ac:dyDescent="0.25">
      <c r="A145" s="30" t="s">
        <v>193</v>
      </c>
      <c r="G145" s="79">
        <f>COUNTIFS(tav,A145,SuchSpalte,AuswahlFilter1)</f>
        <v>13</v>
      </c>
      <c r="H145" s="79" t="str">
        <f>IF(COUNTIFS(tav,A145,SuchSpalte,AuswahlFilter2)=1,"X","")</f>
        <v/>
      </c>
    </row>
    <row r="146" spans="1:12" x14ac:dyDescent="0.25">
      <c r="A146" s="30" t="s">
        <v>194</v>
      </c>
      <c r="G146" s="79">
        <f>COUNTIFS(tav,A146,SuchSpalte,AuswahlFilter1)</f>
        <v>23</v>
      </c>
      <c r="H146" s="79" t="str">
        <f>IF(COUNTIFS(tav,A146,SuchSpalte,AuswahlFilter2)=1,"X","")</f>
        <v/>
      </c>
    </row>
    <row r="147" spans="1:12" x14ac:dyDescent="0.25">
      <c r="A147" s="30" t="s">
        <v>195</v>
      </c>
      <c r="G147" s="79">
        <f>COUNTIFS(tav,A147,SuchSpalte,AuswahlFilter1)</f>
        <v>43</v>
      </c>
      <c r="H147" s="79" t="str">
        <f>IF(COUNTIFS(tav,A147,SuchSpalte,AuswahlFilter2)=1,"X","")</f>
        <v/>
      </c>
    </row>
    <row r="148" spans="1:12" x14ac:dyDescent="0.25">
      <c r="G148" s="77"/>
      <c r="H148" s="83"/>
    </row>
    <row r="150" spans="1:12" x14ac:dyDescent="0.25">
      <c r="A150" s="163" t="s">
        <v>223</v>
      </c>
      <c r="B150" s="163"/>
      <c r="C150" s="163"/>
      <c r="D150" s="163"/>
      <c r="E150" s="163"/>
      <c r="F150" s="163"/>
      <c r="G150" s="163"/>
      <c r="H150" s="163"/>
      <c r="I150" s="163"/>
      <c r="J150" s="33"/>
      <c r="K150" s="123"/>
      <c r="L150" s="123"/>
    </row>
    <row r="151" spans="1:12" x14ac:dyDescent="0.25">
      <c r="A151" s="123"/>
      <c r="B151" s="123"/>
      <c r="C151" s="123"/>
      <c r="D151" s="123"/>
      <c r="E151" s="123"/>
      <c r="F151" s="123"/>
      <c r="G151" s="123"/>
      <c r="H151" s="123"/>
      <c r="I151" s="123"/>
      <c r="J151" s="33"/>
      <c r="K151" s="123"/>
      <c r="L151" s="123"/>
    </row>
    <row r="152" spans="1:12" x14ac:dyDescent="0.25">
      <c r="A152" s="18" t="s">
        <v>45</v>
      </c>
      <c r="B152" s="18"/>
      <c r="C152" s="18"/>
      <c r="D152" s="13"/>
      <c r="E152" s="13"/>
      <c r="F152" s="18" t="s">
        <v>46</v>
      </c>
      <c r="G152" s="13"/>
      <c r="H152" s="18"/>
      <c r="I152" s="18"/>
      <c r="J152" s="34"/>
      <c r="K152" s="18"/>
      <c r="L152" s="18"/>
    </row>
    <row r="153" spans="1:12" x14ac:dyDescent="0.25">
      <c r="A153" s="18"/>
      <c r="B153" s="18"/>
      <c r="C153" s="127">
        <f>SUM(C154:C158)</f>
        <v>78</v>
      </c>
      <c r="D153" s="13"/>
      <c r="E153" s="13"/>
      <c r="F153" s="18"/>
      <c r="G153" s="127">
        <f>SUM(G154:G158)</f>
        <v>63</v>
      </c>
      <c r="H153" s="18"/>
      <c r="I153" s="18"/>
      <c r="J153" s="34"/>
      <c r="K153" s="18"/>
      <c r="L153" s="18"/>
    </row>
    <row r="154" spans="1:12" x14ac:dyDescent="0.25">
      <c r="A154" s="30" t="s">
        <v>196</v>
      </c>
      <c r="C154" s="78">
        <f>COUNTIFS(taw,A154,SuchSpalte,AuswahlFilter1)</f>
        <v>58</v>
      </c>
      <c r="D154" s="78" t="str">
        <f>IF(COUNTIFS(taw,A154,SuchSpalte,AuswahlFilter2)=1,"X","")</f>
        <v/>
      </c>
      <c r="F154" s="30" t="s">
        <v>196</v>
      </c>
      <c r="G154" s="78">
        <f>COUNTIFS(tax,F154,SuchSpalte,AuswahlFilter1)</f>
        <v>6</v>
      </c>
      <c r="H154" s="78" t="str">
        <f>IF(COUNTIFS(tax,F154,SuchSpalte,AuswahlFilter2)=1,"X","")</f>
        <v/>
      </c>
    </row>
    <row r="155" spans="1:12" x14ac:dyDescent="0.25">
      <c r="A155" s="30" t="s">
        <v>197</v>
      </c>
      <c r="C155" s="79">
        <f>COUNTIFS(taw,A155,SuchSpalte,AuswahlFilter1)</f>
        <v>2</v>
      </c>
      <c r="D155" s="79" t="str">
        <f>IF(COUNTIFS(taw,A155,SuchSpalte,AuswahlFilter2)=1,"X","")</f>
        <v/>
      </c>
      <c r="F155" s="30" t="s">
        <v>197</v>
      </c>
      <c r="G155" s="79">
        <f>COUNTIFS(tax,F155,SuchSpalte,AuswahlFilter1)</f>
        <v>1</v>
      </c>
      <c r="H155" s="79" t="str">
        <f>IF(COUNTIFS(tax,F155,SuchSpalte,AuswahlFilter2)=1,"X","")</f>
        <v/>
      </c>
    </row>
    <row r="156" spans="1:12" x14ac:dyDescent="0.25">
      <c r="A156" s="30" t="s">
        <v>198</v>
      </c>
      <c r="C156" s="79">
        <f>COUNTIFS(taw,A156,SuchSpalte,AuswahlFilter1)</f>
        <v>2</v>
      </c>
      <c r="D156" s="79" t="str">
        <f>IF(COUNTIFS(taw,A156,SuchSpalte,AuswahlFilter2)=1,"X","")</f>
        <v/>
      </c>
      <c r="F156" s="30" t="s">
        <v>198</v>
      </c>
      <c r="G156" s="79">
        <f>COUNTIFS(tax,F156,SuchSpalte,AuswahlFilter1)</f>
        <v>6</v>
      </c>
      <c r="H156" s="79" t="str">
        <f>IF(COUNTIFS(tax,F156,SuchSpalte,AuswahlFilter2)=1,"X","")</f>
        <v/>
      </c>
    </row>
    <row r="157" spans="1:12" x14ac:dyDescent="0.25">
      <c r="A157" s="30" t="s">
        <v>199</v>
      </c>
      <c r="C157" s="79">
        <f>COUNTIFS(taw,A157,SuchSpalte,AuswahlFilter1)</f>
        <v>9</v>
      </c>
      <c r="D157" s="79" t="str">
        <f>IF(COUNTIFS(taw,A157,SuchSpalte,AuswahlFilter2)=1,"X","")</f>
        <v/>
      </c>
      <c r="F157" s="5" t="s">
        <v>199</v>
      </c>
      <c r="G157" s="79">
        <f>COUNTIFS(tax,F157,SuchSpalte,AuswahlFilter1)</f>
        <v>28</v>
      </c>
      <c r="H157" s="79" t="str">
        <f>IF(COUNTIFS(tax,F157,SuchSpalte,AuswahlFilter2)=1,"X","")</f>
        <v/>
      </c>
    </row>
    <row r="158" spans="1:12" x14ac:dyDescent="0.25">
      <c r="A158" s="162" t="s">
        <v>200</v>
      </c>
      <c r="B158" s="162"/>
      <c r="C158" s="79">
        <f>COUNTIFS(taw,A158,SuchSpalte,AuswahlFilter1)</f>
        <v>7</v>
      </c>
      <c r="D158" s="79" t="str">
        <f>IF(COUNTIFS(taw,A158,SuchSpalte,AuswahlFilter2)=1,"X","")</f>
        <v/>
      </c>
      <c r="F158" s="122" t="s">
        <v>200</v>
      </c>
      <c r="G158" s="79">
        <f>COUNTIFS(tax,F158,SuchSpalte,AuswahlFilter1)</f>
        <v>22</v>
      </c>
      <c r="H158" s="79" t="str">
        <f>IF(COUNTIFS(tax,F158,SuchSpalte,AuswahlFilter2)=1,"X","")</f>
        <v/>
      </c>
    </row>
    <row r="159" spans="1:12" x14ac:dyDescent="0.25">
      <c r="G159" s="6"/>
      <c r="H159" s="6"/>
    </row>
    <row r="160" spans="1:12" x14ac:dyDescent="0.25">
      <c r="A160" s="163" t="s">
        <v>1175</v>
      </c>
      <c r="B160" s="163"/>
      <c r="C160" s="163"/>
      <c r="D160" s="163"/>
      <c r="E160" s="17"/>
      <c r="F160" s="18" t="s">
        <v>48</v>
      </c>
      <c r="G160" s="69"/>
      <c r="H160" s="6"/>
    </row>
    <row r="161" spans="1:12" x14ac:dyDescent="0.25">
      <c r="A161" s="123"/>
      <c r="B161" s="123"/>
      <c r="C161" s="127">
        <f>SUM(C162:C166)</f>
        <v>62</v>
      </c>
      <c r="D161" s="123"/>
      <c r="E161" s="17"/>
      <c r="F161" s="18"/>
      <c r="G161" s="127">
        <f>SUM(G162:G166)</f>
        <v>61</v>
      </c>
      <c r="H161" s="6"/>
    </row>
    <row r="162" spans="1:12" x14ac:dyDescent="0.25">
      <c r="A162" s="30" t="s">
        <v>196</v>
      </c>
      <c r="C162" s="78">
        <f>COUNTIFS(tay,A162,SuchSpalte,AuswahlFilter1)</f>
        <v>14</v>
      </c>
      <c r="D162" s="78" t="str">
        <f>IF(COUNTIFS(tay,A162,SuchSpalte,AuswahlFilter2)=1,"X","")</f>
        <v/>
      </c>
      <c r="F162" s="30" t="s">
        <v>196</v>
      </c>
      <c r="G162" s="78">
        <f>COUNTIFS(taz,F162,SuchSpalte,AuswahlFilter1)</f>
        <v>12</v>
      </c>
      <c r="H162" s="78" t="str">
        <f>IF(COUNTIFS(taz,F162,SuchSpalte,AuswahlFilter2)=1,"X","")</f>
        <v/>
      </c>
    </row>
    <row r="163" spans="1:12" x14ac:dyDescent="0.25">
      <c r="A163" s="30" t="s">
        <v>197</v>
      </c>
      <c r="C163" s="79">
        <f>COUNTIFS(tay,A163,SuchSpalte,AuswahlFilter1)</f>
        <v>1</v>
      </c>
      <c r="D163" s="79" t="str">
        <f>IF(COUNTIFS(tay,A163,SuchSpalte,AuswahlFilter2)=1,"X","")</f>
        <v/>
      </c>
      <c r="F163" s="30" t="s">
        <v>197</v>
      </c>
      <c r="G163" s="79">
        <f>COUNTIFS(taz,F163,SuchSpalte,AuswahlFilter1)</f>
        <v>1</v>
      </c>
      <c r="H163" s="79" t="str">
        <f>IF(COUNTIFS(taz,F163,SuchSpalte,AuswahlFilter2)=1,"X","")</f>
        <v/>
      </c>
    </row>
    <row r="164" spans="1:12" x14ac:dyDescent="0.25">
      <c r="A164" s="30" t="s">
        <v>198</v>
      </c>
      <c r="C164" s="79">
        <f>COUNTIFS(tay,A164,SuchSpalte,AuswahlFilter1)</f>
        <v>8</v>
      </c>
      <c r="D164" s="79" t="str">
        <f>IF(COUNTIFS(tay,A164,SuchSpalte,AuswahlFilter2)=1,"X","")</f>
        <v/>
      </c>
      <c r="F164" s="30" t="s">
        <v>198</v>
      </c>
      <c r="G164" s="79">
        <f>COUNTIFS(taz,F164,SuchSpalte,AuswahlFilter1)</f>
        <v>5</v>
      </c>
      <c r="H164" s="79" t="str">
        <f>IF(COUNTIFS(taz,F164,SuchSpalte,AuswahlFilter2)=1,"X","")</f>
        <v/>
      </c>
    </row>
    <row r="165" spans="1:12" x14ac:dyDescent="0.25">
      <c r="A165" s="30" t="s">
        <v>199</v>
      </c>
      <c r="C165" s="79">
        <f>COUNTIFS(tay,A165,SuchSpalte,AuswahlFilter1)</f>
        <v>19</v>
      </c>
      <c r="D165" s="79" t="str">
        <f>IF(COUNTIFS(tay,A165,SuchSpalte,AuswahlFilter2)=1,"X","")</f>
        <v/>
      </c>
      <c r="F165" s="30" t="s">
        <v>199</v>
      </c>
      <c r="G165" s="79">
        <f>COUNTIFS(taz,F165,SuchSpalte,AuswahlFilter1)</f>
        <v>23</v>
      </c>
      <c r="H165" s="79" t="str">
        <f>IF(COUNTIFS(taz,F165,SuchSpalte,AuswahlFilter2)=1,"X","")</f>
        <v/>
      </c>
    </row>
    <row r="166" spans="1:12" x14ac:dyDescent="0.25">
      <c r="A166" s="162" t="s">
        <v>200</v>
      </c>
      <c r="B166" s="162"/>
      <c r="C166" s="79">
        <f>COUNTIFS(tay,A166,SuchSpalte,AuswahlFilter1)</f>
        <v>20</v>
      </c>
      <c r="D166" s="79" t="str">
        <f>IF(COUNTIFS(tay,A166,SuchSpalte,AuswahlFilter2)=1,"X","")</f>
        <v/>
      </c>
      <c r="F166" s="122" t="s">
        <v>200</v>
      </c>
      <c r="G166" s="79">
        <f>COUNTIFS(taz,F166,SuchSpalte,AuswahlFilter1)</f>
        <v>20</v>
      </c>
      <c r="H166" s="79" t="str">
        <f>IF(COUNTIFS(taz,F166,SuchSpalte,AuswahlFilter2)=1,"X","")</f>
        <v/>
      </c>
    </row>
    <row r="167" spans="1:12" x14ac:dyDescent="0.25">
      <c r="C167" s="80"/>
      <c r="D167" s="80"/>
      <c r="G167" s="80"/>
      <c r="H167" s="80"/>
    </row>
    <row r="168" spans="1:12" s="3" customFormat="1" x14ac:dyDescent="0.25">
      <c r="A168" s="3" t="s">
        <v>49</v>
      </c>
      <c r="C168" s="127">
        <f>SUM(C169:C173)</f>
        <v>64</v>
      </c>
      <c r="D168" s="81"/>
      <c r="F168" s="3" t="s">
        <v>50</v>
      </c>
      <c r="G168" s="127">
        <f>SUM(G169:G173)</f>
        <v>61</v>
      </c>
      <c r="H168" s="81"/>
      <c r="J168" s="19"/>
    </row>
    <row r="169" spans="1:12" x14ac:dyDescent="0.25">
      <c r="A169" s="30" t="s">
        <v>196</v>
      </c>
      <c r="C169" s="78">
        <f>COUNTIFS(tba,A169,SuchSpalte,AuswahlFilter1)</f>
        <v>15</v>
      </c>
      <c r="D169" s="78" t="str">
        <f>IF(COUNTIFS(tba,A169,SuchSpalte,AuswahlFilter2)=1,"X","")</f>
        <v/>
      </c>
      <c r="F169" s="30" t="s">
        <v>196</v>
      </c>
      <c r="G169" s="78">
        <f>COUNTIFS(tbb,F169,SuchSpalte,AuswahlFilter1)</f>
        <v>0</v>
      </c>
      <c r="H169" s="78" t="str">
        <f>IF(COUNTIFS(tbc,F169,SuchSpalte,AuswahlFilter2)=1,"X","")</f>
        <v/>
      </c>
    </row>
    <row r="170" spans="1:12" x14ac:dyDescent="0.25">
      <c r="A170" s="30" t="s">
        <v>197</v>
      </c>
      <c r="C170" s="79">
        <f>COUNTIFS(tba,A170,SuchSpalte,AuswahlFilter1)</f>
        <v>1</v>
      </c>
      <c r="D170" s="79" t="str">
        <f>IF(COUNTIFS(tba,A170,SuchSpalte,AuswahlFilter2)=1,"X","")</f>
        <v/>
      </c>
      <c r="F170" s="30" t="s">
        <v>197</v>
      </c>
      <c r="G170" s="79">
        <f>COUNTIFS(tbb,F170,SuchSpalte,AuswahlFilter1)</f>
        <v>1</v>
      </c>
      <c r="H170" s="79" t="str">
        <f>IF(COUNTIFS(tbc,F170,SuchSpalte,AuswahlFilter2)=1,"X","")</f>
        <v/>
      </c>
    </row>
    <row r="171" spans="1:12" x14ac:dyDescent="0.25">
      <c r="A171" s="30" t="s">
        <v>198</v>
      </c>
      <c r="C171" s="79">
        <f>COUNTIFS(tba,A171,SuchSpalte,AuswahlFilter1)</f>
        <v>4</v>
      </c>
      <c r="D171" s="79" t="str">
        <f>IF(COUNTIFS(tba,A171,SuchSpalte,AuswahlFilter2)=1,"X","")</f>
        <v/>
      </c>
      <c r="F171" s="30" t="s">
        <v>198</v>
      </c>
      <c r="G171" s="79">
        <f>COUNTIFS(tbb,F171,SuchSpalte,AuswahlFilter1)</f>
        <v>2</v>
      </c>
      <c r="H171" s="79" t="str">
        <f>IF(COUNTIFS(tbc,F171,SuchSpalte,AuswahlFilter2)=1,"X","")</f>
        <v/>
      </c>
    </row>
    <row r="172" spans="1:12" x14ac:dyDescent="0.25">
      <c r="A172" s="30" t="s">
        <v>199</v>
      </c>
      <c r="C172" s="79">
        <f>COUNTIFS(tba,A172,SuchSpalte,AuswahlFilter1)</f>
        <v>22</v>
      </c>
      <c r="D172" s="79" t="str">
        <f>IF(COUNTIFS(tba,A172,SuchSpalte,AuswahlFilter2)=1,"X","")</f>
        <v/>
      </c>
      <c r="F172" s="30" t="s">
        <v>199</v>
      </c>
      <c r="G172" s="79">
        <f>COUNTIFS(tbb,F172,SuchSpalte,AuswahlFilter1)</f>
        <v>29</v>
      </c>
      <c r="H172" s="79" t="str">
        <f>IF(COUNTIFS(tbc,F172,SuchSpalte,AuswahlFilter2)=1,"X","")</f>
        <v/>
      </c>
    </row>
    <row r="173" spans="1:12" x14ac:dyDescent="0.25">
      <c r="A173" s="162" t="s">
        <v>200</v>
      </c>
      <c r="B173" s="162"/>
      <c r="C173" s="79">
        <f>COUNTIFS(tba,A173,SuchSpalte,AuswahlFilter1)</f>
        <v>22</v>
      </c>
      <c r="D173" s="79" t="str">
        <f>IF(COUNTIFS(tba,A173,SuchSpalte,AuswahlFilter2)=1,"X","")</f>
        <v/>
      </c>
      <c r="F173" s="122" t="s">
        <v>200</v>
      </c>
      <c r="G173" s="79">
        <f>COUNTIFS(tbb,F173,SuchSpalte,AuswahlFilter1)</f>
        <v>29</v>
      </c>
      <c r="H173" s="79" t="str">
        <f>IF(COUNTIFS(tbc,F173,SuchSpalte,AuswahlFilter2)=1,"X","")</f>
        <v/>
      </c>
    </row>
    <row r="176" spans="1:12" x14ac:dyDescent="0.25">
      <c r="A176" s="163" t="s">
        <v>227</v>
      </c>
      <c r="B176" s="163"/>
      <c r="C176" s="163"/>
      <c r="D176" s="163"/>
      <c r="E176" s="163"/>
      <c r="F176" s="163"/>
      <c r="G176" s="163"/>
      <c r="H176" s="163"/>
      <c r="I176" s="163"/>
      <c r="J176" s="33"/>
      <c r="K176" s="123"/>
      <c r="L176" s="123"/>
    </row>
    <row r="177" spans="1:14" x14ac:dyDescent="0.25">
      <c r="A177" s="3"/>
      <c r="B177" s="3"/>
      <c r="C177" s="128">
        <f>SUM(C178:C184)</f>
        <v>145</v>
      </c>
    </row>
    <row r="178" spans="1:14" x14ac:dyDescent="0.25">
      <c r="A178" s="30" t="s">
        <v>201</v>
      </c>
      <c r="C178" s="78">
        <f t="shared" ref="C178:C184" si="18">COUNTIFS(tbc,A178,SuchSpalte,AuswahlFilter1)+COUNTIFS(tbg,A178,SuchSpalte,AuswahlFilter1)+COUNTIFS(tbk,A178,SuchSpalte,AuswahlFilter1)</f>
        <v>28</v>
      </c>
      <c r="D178" s="78" t="str">
        <f t="shared" ref="D178:D184" si="19">IF(COUNTIFS(tbc,A178,SuchSpalte,AuswahlFilter2)=1,"X",IF(COUNTIFS(tbg,A178,SuchSpalte,AuswahlFilter2)=1,"X",IF(COUNTIFS(tbk,A178,SuchSpalte,AuswahlFilter2)=1,"X","")))</f>
        <v/>
      </c>
      <c r="N178" s="111">
        <f t="shared" ref="N178:N184" si="20">COUNTIFS(tbc,A178,SuchSpalte,AuswahlFilter1)+COUNTIFS(tbg,A178,SuchSpalte,AuswahlFilter1)+COUNTIFS(tbk,A178,SuchSpalte,AuswahlFilter1)</f>
        <v>28</v>
      </c>
    </row>
    <row r="179" spans="1:14" x14ac:dyDescent="0.25">
      <c r="A179" s="30" t="s">
        <v>202</v>
      </c>
      <c r="C179" s="79">
        <f t="shared" si="18"/>
        <v>59</v>
      </c>
      <c r="D179" s="79" t="str">
        <f t="shared" si="19"/>
        <v/>
      </c>
      <c r="N179" s="111">
        <f t="shared" si="20"/>
        <v>59</v>
      </c>
    </row>
    <row r="180" spans="1:14" x14ac:dyDescent="0.25">
      <c r="A180" s="30" t="s">
        <v>203</v>
      </c>
      <c r="C180" s="79">
        <f t="shared" si="18"/>
        <v>6</v>
      </c>
      <c r="D180" s="79" t="str">
        <f t="shared" si="19"/>
        <v/>
      </c>
      <c r="N180" s="111">
        <f t="shared" si="20"/>
        <v>6</v>
      </c>
    </row>
    <row r="181" spans="1:14" x14ac:dyDescent="0.25">
      <c r="A181" s="30" t="s">
        <v>204</v>
      </c>
      <c r="C181" s="79">
        <f t="shared" si="18"/>
        <v>0</v>
      </c>
      <c r="D181" s="79" t="str">
        <f t="shared" si="19"/>
        <v/>
      </c>
      <c r="N181" s="111">
        <f t="shared" si="20"/>
        <v>0</v>
      </c>
    </row>
    <row r="182" spans="1:14" x14ac:dyDescent="0.25">
      <c r="A182" s="30" t="s">
        <v>205</v>
      </c>
      <c r="C182" s="79">
        <f t="shared" si="18"/>
        <v>19</v>
      </c>
      <c r="D182" s="79" t="str">
        <f t="shared" si="19"/>
        <v/>
      </c>
      <c r="N182" s="111">
        <f t="shared" si="20"/>
        <v>19</v>
      </c>
    </row>
    <row r="183" spans="1:14" x14ac:dyDescent="0.25">
      <c r="A183" s="30" t="s">
        <v>206</v>
      </c>
      <c r="C183" s="79">
        <f t="shared" si="18"/>
        <v>25</v>
      </c>
      <c r="D183" s="79" t="str">
        <f t="shared" si="19"/>
        <v/>
      </c>
      <c r="N183" s="111">
        <f t="shared" si="20"/>
        <v>25</v>
      </c>
    </row>
    <row r="184" spans="1:14" x14ac:dyDescent="0.25">
      <c r="A184" s="30" t="s">
        <v>207</v>
      </c>
      <c r="C184" s="79">
        <f t="shared" si="18"/>
        <v>8</v>
      </c>
      <c r="D184" s="79" t="str">
        <f t="shared" si="19"/>
        <v/>
      </c>
      <c r="N184" s="111">
        <f t="shared" si="20"/>
        <v>8</v>
      </c>
    </row>
    <row r="185" spans="1:14" x14ac:dyDescent="0.25">
      <c r="C185" s="70"/>
      <c r="D185" s="71"/>
    </row>
    <row r="186" spans="1:14" x14ac:dyDescent="0.25">
      <c r="A186" s="3" t="s">
        <v>224</v>
      </c>
      <c r="B186" s="3"/>
      <c r="C186" s="3"/>
      <c r="D186" s="63"/>
    </row>
    <row r="187" spans="1:14" x14ac:dyDescent="0.25">
      <c r="A187" s="3"/>
      <c r="B187" s="3"/>
      <c r="C187" s="3"/>
      <c r="D187" s="63"/>
    </row>
    <row r="188" spans="1:14" s="3" customFormat="1" x14ac:dyDescent="0.25">
      <c r="A188" s="3" t="s">
        <v>56</v>
      </c>
      <c r="D188" s="66"/>
      <c r="F188" s="17" t="s">
        <v>57</v>
      </c>
      <c r="J188" s="19"/>
    </row>
    <row r="189" spans="1:14" s="3" customFormat="1" x14ac:dyDescent="0.25">
      <c r="C189" s="127">
        <f>SUM(C190:C193)</f>
        <v>85</v>
      </c>
      <c r="D189" s="66"/>
      <c r="F189" s="17"/>
      <c r="G189" s="127">
        <f>SUM(G190:G193)</f>
        <v>63</v>
      </c>
      <c r="J189" s="19"/>
    </row>
    <row r="190" spans="1:14" x14ac:dyDescent="0.25">
      <c r="A190" s="30" t="s">
        <v>104</v>
      </c>
      <c r="C190" s="78">
        <f>COUNTIFS(tbo,A190,SuchSpalte,AuswahlFilter1)</f>
        <v>2</v>
      </c>
      <c r="D190" s="78" t="str">
        <f>IF(COUNTIFS(tbo,A190,SuchSpalte,AuswahlFilter2)=1,"X","")</f>
        <v/>
      </c>
      <c r="F190" s="30" t="s">
        <v>104</v>
      </c>
      <c r="G190" s="78">
        <f>COUNTIFS(tbp,F190,SuchSpalte,AuswahlFilter1)</f>
        <v>53</v>
      </c>
      <c r="H190" s="78" t="str">
        <f>IF(COUNTIFS(tbp,F190,SuchSpalte,AuswahlFilter2)=1,"X","")</f>
        <v/>
      </c>
    </row>
    <row r="191" spans="1:14" x14ac:dyDescent="0.25">
      <c r="A191" s="30" t="s">
        <v>208</v>
      </c>
      <c r="C191" s="79">
        <f>COUNTIFS(tbo,A191,SuchSpalte,AuswahlFilter1)</f>
        <v>8</v>
      </c>
      <c r="D191" s="79" t="str">
        <f>IF(COUNTIFS(tbo,A191,SuchSpalte,AuswahlFilter2)=1,"X","")</f>
        <v/>
      </c>
      <c r="F191" s="30" t="s">
        <v>208</v>
      </c>
      <c r="G191" s="79">
        <f>COUNTIFS(tbp,F191,SuchSpalte,AuswahlFilter1)</f>
        <v>8</v>
      </c>
      <c r="H191" s="79" t="str">
        <f>IF(COUNTIFS(tbp,F191,SuchSpalte,AuswahlFilter2)=1,"X","")</f>
        <v/>
      </c>
    </row>
    <row r="192" spans="1:14" x14ac:dyDescent="0.25">
      <c r="A192" s="30" t="s">
        <v>209</v>
      </c>
      <c r="C192" s="79">
        <f>COUNTIFS(tbo,A192,SuchSpalte,AuswahlFilter1)</f>
        <v>45</v>
      </c>
      <c r="D192" s="79" t="str">
        <f>IF(COUNTIFS(tbo,A192,SuchSpalte,AuswahlFilter2)=1,"X","")</f>
        <v/>
      </c>
      <c r="F192" s="30" t="s">
        <v>209</v>
      </c>
      <c r="G192" s="79">
        <f>COUNTIFS(tbp,F192,SuchSpalte,AuswahlFilter1)</f>
        <v>2</v>
      </c>
      <c r="H192" s="79" t="str">
        <f>IF(COUNTIFS(tbp,F192,SuchSpalte,AuswahlFilter2)=1,"X","")</f>
        <v/>
      </c>
    </row>
    <row r="193" spans="1:10" x14ac:dyDescent="0.25">
      <c r="A193" s="30" t="s">
        <v>210</v>
      </c>
      <c r="C193" s="79">
        <f>COUNTIFS(tbo,A193,SuchSpalte,AuswahlFilter1)</f>
        <v>30</v>
      </c>
      <c r="D193" s="79" t="str">
        <f>IF(COUNTIFS(tbo,A193,SuchSpalte,AuswahlFilter2)=1,"X","")</f>
        <v/>
      </c>
      <c r="F193" s="30" t="s">
        <v>210</v>
      </c>
      <c r="G193" s="79">
        <f>COUNTIFS(tbp,F193,SuchSpalte,AuswahlFilter1)</f>
        <v>0</v>
      </c>
      <c r="H193" s="79" t="str">
        <f>IF(COUNTIFS(tbp,F193,SuchSpalte,AuswahlFilter2)=1,"X","")</f>
        <v/>
      </c>
    </row>
    <row r="196" spans="1:10" s="3" customFormat="1" x14ac:dyDescent="0.25">
      <c r="A196" s="3" t="s">
        <v>58</v>
      </c>
      <c r="J196" s="19"/>
    </row>
    <row r="197" spans="1:10" s="3" customFormat="1" x14ac:dyDescent="0.25">
      <c r="C197" s="127">
        <f>SUM(C198:C201)</f>
        <v>78</v>
      </c>
      <c r="J197" s="19"/>
    </row>
    <row r="198" spans="1:10" x14ac:dyDescent="0.25">
      <c r="A198" s="30" t="s">
        <v>104</v>
      </c>
      <c r="C198" s="78">
        <f>COUNTIFS(tbq,A198,SuchSpalte,AuswahlFilter1)</f>
        <v>9</v>
      </c>
      <c r="D198" s="78" t="str">
        <f>IF(COUNTIFS(tbq,A190,SuchSpalte,AuswahlFilter2)=1,"X","")</f>
        <v/>
      </c>
    </row>
    <row r="199" spans="1:10" x14ac:dyDescent="0.25">
      <c r="A199" s="30" t="s">
        <v>208</v>
      </c>
      <c r="C199" s="79">
        <f>COUNTIFS(tbq,A199,SuchSpalte,AuswahlFilter1)</f>
        <v>43</v>
      </c>
      <c r="D199" s="79" t="str">
        <f>IF(COUNTIFS(tbq,A191,SuchSpalte,AuswahlFilter2)=1,"X","")</f>
        <v/>
      </c>
    </row>
    <row r="200" spans="1:10" x14ac:dyDescent="0.25">
      <c r="A200" s="30" t="s">
        <v>209</v>
      </c>
      <c r="C200" s="79">
        <f>COUNTIFS(tbq,A200,SuchSpalte,AuswahlFilter1)</f>
        <v>25</v>
      </c>
      <c r="D200" s="79" t="str">
        <f>IF(COUNTIFS(tbq,A192,SuchSpalte,AuswahlFilter2)=1,"X","")</f>
        <v/>
      </c>
    </row>
    <row r="201" spans="1:10" x14ac:dyDescent="0.25">
      <c r="A201" s="30" t="s">
        <v>210</v>
      </c>
      <c r="C201" s="79">
        <f>COUNTIFS(tbq,A201,SuchSpalte,AuswahlFilter1)</f>
        <v>1</v>
      </c>
      <c r="D201" s="79" t="str">
        <f>IF(COUNTIFS(tbq,A193,SuchSpalte,AuswahlFilter2)=1,"X","")</f>
        <v/>
      </c>
    </row>
    <row r="203" spans="1:10" x14ac:dyDescent="0.25">
      <c r="A203" s="3" t="s">
        <v>225</v>
      </c>
      <c r="B203" s="3"/>
      <c r="C203" s="3"/>
    </row>
    <row r="204" spans="1:10" x14ac:dyDescent="0.25">
      <c r="A204" s="3"/>
      <c r="B204" s="3"/>
      <c r="C204" s="127">
        <f>C205+C206</f>
        <v>85</v>
      </c>
    </row>
    <row r="205" spans="1:10" x14ac:dyDescent="0.25">
      <c r="A205" s="30" t="s">
        <v>33</v>
      </c>
      <c r="C205" s="78">
        <f>COUNTIFS(tbr,A205,SuchSpalte,AuswahlFilter1)</f>
        <v>62</v>
      </c>
      <c r="D205" s="78" t="str">
        <f>IF(COUNTIFS(tbr,A205,SuchSpalte,AuswahlFilter2)=1,"X","")</f>
        <v/>
      </c>
    </row>
    <row r="206" spans="1:10" x14ac:dyDescent="0.25">
      <c r="A206" s="30" t="s">
        <v>39</v>
      </c>
      <c r="C206" s="79">
        <f>COUNTIFS(tbr,A206,SuchSpalte,AuswahlFilter1)</f>
        <v>23</v>
      </c>
      <c r="D206" s="79" t="str">
        <f>IF(COUNTIFS(tbr,A206,SuchSpalte,AuswahlFilter2)=1,"X","")</f>
        <v/>
      </c>
    </row>
    <row r="207" spans="1:10" x14ac:dyDescent="0.25">
      <c r="C207" s="6"/>
      <c r="D207" s="6"/>
    </row>
    <row r="209" spans="1:14" x14ac:dyDescent="0.25">
      <c r="A209" s="163" t="s">
        <v>226</v>
      </c>
      <c r="B209" s="163"/>
      <c r="C209" s="163"/>
      <c r="D209" s="163"/>
      <c r="E209" s="163"/>
      <c r="F209" s="163"/>
      <c r="G209" s="163"/>
      <c r="H209" s="163"/>
      <c r="I209" s="163"/>
      <c r="K209" s="123"/>
      <c r="L209" s="123"/>
    </row>
    <row r="210" spans="1:14" x14ac:dyDescent="0.25">
      <c r="A210" s="123"/>
      <c r="B210" s="123"/>
      <c r="C210" s="123"/>
      <c r="D210" s="123"/>
      <c r="E210" s="123"/>
      <c r="F210" s="123"/>
      <c r="G210" s="128">
        <f>SUM(G211:G219)</f>
        <v>132</v>
      </c>
      <c r="H210" s="123"/>
      <c r="I210" s="123"/>
      <c r="K210" s="123"/>
      <c r="L210" s="123"/>
    </row>
    <row r="211" spans="1:14" x14ac:dyDescent="0.25">
      <c r="A211" s="31" t="s">
        <v>61</v>
      </c>
      <c r="B211" s="31"/>
      <c r="C211" s="31"/>
      <c r="G211" s="78">
        <f>COUNTIFS(tbs,TRUE,SuchSpalte,AuswahlFilter1)</f>
        <v>17</v>
      </c>
      <c r="H211" s="78" t="str">
        <f>IF(COUNTIFS(tbs,TRUE,SuchSpalte,AuswahlFilter2)=1,"X","")</f>
        <v/>
      </c>
      <c r="N211" s="111">
        <f>COUNTIFS(tbs,TRUE,SuchSpalte,AuswahlFilter1)</f>
        <v>17</v>
      </c>
    </row>
    <row r="212" spans="1:14" x14ac:dyDescent="0.25">
      <c r="A212" s="24" t="s">
        <v>62</v>
      </c>
      <c r="B212" s="24"/>
      <c r="C212" s="24"/>
      <c r="G212" s="79">
        <f>COUNTIFS(tbt,TRUE,SuchSpalte,AuswahlFilter1)</f>
        <v>8</v>
      </c>
      <c r="H212" s="79" t="str">
        <f>IF(COUNTIFS(tbt,TRUE,SuchSpalte,AuswahlFilter2)=1,"X","")</f>
        <v/>
      </c>
      <c r="N212" s="111">
        <f>COUNTIFS(tbt,TRUE,SuchSpalte,AuswahlFilter1)</f>
        <v>8</v>
      </c>
    </row>
    <row r="213" spans="1:14" x14ac:dyDescent="0.25">
      <c r="A213" s="160" t="s">
        <v>63</v>
      </c>
      <c r="B213" s="160"/>
      <c r="C213" s="160"/>
      <c r="D213" s="160"/>
      <c r="E213" s="160"/>
      <c r="F213" s="160"/>
      <c r="G213" s="79">
        <f>COUNTIFS(tbu,TRUE,SuchSpalte,AuswahlFilter1)</f>
        <v>3</v>
      </c>
      <c r="H213" s="79" t="str">
        <f>IF(COUNTIFS(tbu,TRUE,SuchSpalte,AuswahlFilter2)=1,"X","")</f>
        <v/>
      </c>
      <c r="N213" s="111">
        <f>COUNTIFS(tbu,TRUE,SuchSpalte,AuswahlFilter1)</f>
        <v>3</v>
      </c>
    </row>
    <row r="214" spans="1:14" x14ac:dyDescent="0.25">
      <c r="A214" s="24" t="s">
        <v>64</v>
      </c>
      <c r="B214" s="24"/>
      <c r="C214" s="24"/>
      <c r="G214" s="79">
        <f>COUNTIFS(tbv,TRUE,SuchSpalte,AuswahlFilter1)</f>
        <v>16</v>
      </c>
      <c r="H214" s="79" t="str">
        <f>IF(COUNTIFS(tbv,TRUE,SuchSpalte,AuswahlFilter2)=1,"X","")</f>
        <v/>
      </c>
      <c r="N214" s="111">
        <f>COUNTIFS(tbv,TRUE,SuchSpalte,AuswahlFilter1)</f>
        <v>16</v>
      </c>
    </row>
    <row r="215" spans="1:14" x14ac:dyDescent="0.25">
      <c r="A215" s="24" t="s">
        <v>65</v>
      </c>
      <c r="B215" s="24"/>
      <c r="C215" s="24"/>
      <c r="G215" s="79">
        <f>COUNTIFS(tbw,TRUE,SuchSpalte,AuswahlFilter1)</f>
        <v>11</v>
      </c>
      <c r="H215" s="79" t="str">
        <f>IF(COUNTIFS(tbw,TRUE,SuchSpalte,AuswahlFilter2)=1,"X","")</f>
        <v/>
      </c>
      <c r="N215" s="111">
        <f>COUNTIFS(tbw,TRUE,SuchSpalte,AuswahlFilter1)</f>
        <v>11</v>
      </c>
    </row>
    <row r="216" spans="1:14" x14ac:dyDescent="0.25">
      <c r="A216" s="24" t="s">
        <v>66</v>
      </c>
      <c r="B216" s="24"/>
      <c r="C216" s="24"/>
      <c r="G216" s="79">
        <f>COUNTIFS(tbx,TRUE,SuchSpalte,AuswahlFilter1)</f>
        <v>3</v>
      </c>
      <c r="H216" s="79" t="str">
        <f>IF(COUNTIFS(tbx,TRUE,SuchSpalte,AuswahlFilter2)=1,"X","")</f>
        <v/>
      </c>
      <c r="N216" s="111">
        <f>COUNTIFS(tbx,TRUE,SuchSpalte,AuswahlFilter1)</f>
        <v>3</v>
      </c>
    </row>
    <row r="217" spans="1:14" x14ac:dyDescent="0.25">
      <c r="A217" s="24" t="s">
        <v>67</v>
      </c>
      <c r="B217" s="24"/>
      <c r="C217" s="24"/>
      <c r="G217" s="79">
        <f>COUNTIFS(tby,TRUE,SuchSpalte,AuswahlFilter1)</f>
        <v>4</v>
      </c>
      <c r="H217" s="79" t="str">
        <f>IF(COUNTIFS(tby,TRUE,SuchSpalte,AuswahlFilter2)=1,"X","")</f>
        <v/>
      </c>
      <c r="N217" s="111">
        <f>COUNTIFS(tby,TRUE,SuchSpalte,AuswahlFilter1)</f>
        <v>4</v>
      </c>
    </row>
    <row r="218" spans="1:14" x14ac:dyDescent="0.25">
      <c r="A218" s="24" t="s">
        <v>68</v>
      </c>
      <c r="B218" s="24"/>
      <c r="C218" s="24"/>
      <c r="G218" s="79">
        <f>COUNTIFS(tbz,TRUE,SuchSpalte,AuswahlFilter1)</f>
        <v>1</v>
      </c>
      <c r="H218" s="79" t="str">
        <f>IF(COUNTIFS(tbz,TRUE,SuchSpalte,AuswahlFilter2)=1,"X","")</f>
        <v/>
      </c>
      <c r="N218" s="111">
        <f>COUNTIFS(tbz,TRUE,SuchSpalte,AuswahlFilter1)</f>
        <v>1</v>
      </c>
    </row>
    <row r="219" spans="1:14" x14ac:dyDescent="0.25">
      <c r="A219" s="30" t="s">
        <v>39</v>
      </c>
      <c r="G219" s="79">
        <f>COUNTIFS(tca,TRUE,SuchSpalte,AuswahlFilter1)</f>
        <v>69</v>
      </c>
      <c r="H219" s="79" t="str">
        <f>IF(COUNTIFS(tca,TRUE,SuchSpalte,AuswahlFilter2)=1,"X","")</f>
        <v/>
      </c>
      <c r="N219" s="111">
        <f>COUNTIFS(tca,TRUE,SuchSpalte,AuswahlFilter1)</f>
        <v>69</v>
      </c>
    </row>
    <row r="220" spans="1:14" x14ac:dyDescent="0.25">
      <c r="G220" s="6"/>
      <c r="H220" s="6"/>
    </row>
    <row r="221" spans="1:14" x14ac:dyDescent="0.25">
      <c r="A221" s="163" t="s">
        <v>228</v>
      </c>
      <c r="B221" s="163"/>
      <c r="C221" s="163"/>
      <c r="D221" s="163"/>
      <c r="E221" s="163"/>
      <c r="F221" s="163"/>
      <c r="G221" s="163"/>
      <c r="H221" s="163"/>
      <c r="I221" s="163"/>
      <c r="K221" s="123"/>
      <c r="L221" s="123"/>
    </row>
    <row r="222" spans="1:14" x14ac:dyDescent="0.25">
      <c r="A222" s="123"/>
      <c r="B222" s="123"/>
      <c r="C222" s="123"/>
      <c r="D222" s="123"/>
      <c r="E222" s="123"/>
      <c r="F222" s="123"/>
      <c r="G222" s="128">
        <f>SUM(G223:G231)</f>
        <v>93</v>
      </c>
      <c r="H222" s="123"/>
      <c r="I222" s="123"/>
      <c r="K222" s="123"/>
      <c r="L222" s="123"/>
    </row>
    <row r="223" spans="1:14" x14ac:dyDescent="0.25">
      <c r="A223" s="30" t="s">
        <v>71</v>
      </c>
      <c r="G223" s="78">
        <f>COUNTIFS(tcc,TRUE,SuchSpalte,AuswahlFilter1)</f>
        <v>23</v>
      </c>
      <c r="H223" s="78" t="str">
        <f>IF(COUNTIFS(tcc,TRUE,SuchSpalte,AuswahlFilter2)=1,"X","")</f>
        <v/>
      </c>
    </row>
    <row r="224" spans="1:14" x14ac:dyDescent="0.25">
      <c r="A224" s="26" t="s">
        <v>72</v>
      </c>
      <c r="B224" s="26"/>
      <c r="C224" s="26"/>
      <c r="G224" s="79">
        <f>COUNTIFS(tcd,TRUE,SuchSpalte,AuswahlFilter1)</f>
        <v>19</v>
      </c>
      <c r="H224" s="79" t="str">
        <f>IF(COUNTIFS(tcd,TRUE,SuchSpalte,AuswahlFilter2)=1,"X","")</f>
        <v/>
      </c>
    </row>
    <row r="225" spans="1:12" x14ac:dyDescent="0.25">
      <c r="A225" s="26" t="s">
        <v>73</v>
      </c>
      <c r="B225" s="26"/>
      <c r="C225" s="26"/>
      <c r="G225" s="79">
        <f>COUNTIFS(tce,TRUE,SuchSpalte,AuswahlFilter1)</f>
        <v>4</v>
      </c>
      <c r="H225" s="79" t="str">
        <f>IF(COUNTIFS(tce,TRUE,SuchSpalte,AuswahlFilter2)=1,"X","")</f>
        <v/>
      </c>
    </row>
    <row r="226" spans="1:12" x14ac:dyDescent="0.25">
      <c r="A226" s="26" t="s">
        <v>74</v>
      </c>
      <c r="B226" s="26"/>
      <c r="C226" s="26"/>
      <c r="G226" s="79">
        <f>COUNTIFS(tcf,TRUE,SuchSpalte,AuswahlFilter1)</f>
        <v>8</v>
      </c>
      <c r="H226" s="79" t="str">
        <f>IF(COUNTIFS(tcf,TRUE,SuchSpalte,AuswahlFilter2)=1,"X","")</f>
        <v/>
      </c>
    </row>
    <row r="227" spans="1:12" x14ac:dyDescent="0.25">
      <c r="A227" s="26" t="s">
        <v>75</v>
      </c>
      <c r="B227" s="26"/>
      <c r="C227" s="26"/>
      <c r="G227" s="79">
        <f>COUNTIFS(tcg,TRUE,SuchSpalte,AuswahlFilter1)</f>
        <v>9</v>
      </c>
      <c r="H227" s="79" t="str">
        <f>IF(COUNTIFS(tcg,TRUE,SuchSpalte,AuswahlFilter2)=1,"X","")</f>
        <v/>
      </c>
    </row>
    <row r="228" spans="1:12" x14ac:dyDescent="0.25">
      <c r="A228" s="30" t="s">
        <v>76</v>
      </c>
      <c r="G228" s="79">
        <f>COUNTIFS(tch,TRUE,SuchSpalte,AuswahlFilter1)</f>
        <v>5</v>
      </c>
      <c r="H228" s="79" t="str">
        <f>IF(COUNTIFS(tch,TRUE,SuchSpalte,AuswahlFilter2)=1,"X","")</f>
        <v/>
      </c>
    </row>
    <row r="229" spans="1:12" x14ac:dyDescent="0.25">
      <c r="A229" s="162" t="s">
        <v>77</v>
      </c>
      <c r="B229" s="162"/>
      <c r="C229" s="162"/>
      <c r="D229" s="162"/>
      <c r="E229" s="162"/>
      <c r="F229" s="162"/>
      <c r="G229" s="79">
        <f>COUNTIFS(tci,TRUE,SuchSpalte,AuswahlFilter1)</f>
        <v>11</v>
      </c>
      <c r="H229" s="79" t="str">
        <f>IF(COUNTIFS(tci,TRUE,SuchSpalte,AuswahlFilter2)=1,"X","")</f>
        <v/>
      </c>
    </row>
    <row r="230" spans="1:12" x14ac:dyDescent="0.25">
      <c r="A230" s="162" t="s">
        <v>78</v>
      </c>
      <c r="B230" s="162"/>
      <c r="C230" s="162"/>
      <c r="D230" s="162"/>
      <c r="E230" s="162"/>
      <c r="F230" s="162"/>
      <c r="G230" s="79">
        <f>COUNTIFS(tcj,TRUE,SuchSpalte,AuswahlFilter1)</f>
        <v>8</v>
      </c>
      <c r="H230" s="79" t="str">
        <f>IF(COUNTIFS(tcj,TRUE,SuchSpalte,AuswahlFilter2)=1,"X","")</f>
        <v/>
      </c>
    </row>
    <row r="231" spans="1:12" x14ac:dyDescent="0.25">
      <c r="A231" s="30" t="s">
        <v>79</v>
      </c>
      <c r="G231" s="79">
        <f>COUNTIFS(tck,TRUE,SuchSpalte,AuswahlFilter1)</f>
        <v>6</v>
      </c>
      <c r="H231" s="79" t="str">
        <f>IF(COUNTIFS(tck,TRUE,SuchSpalte,AuswahlFilter2)=1,"X","")</f>
        <v/>
      </c>
    </row>
    <row r="233" spans="1:12" x14ac:dyDescent="0.25">
      <c r="A233" s="163" t="s">
        <v>80</v>
      </c>
      <c r="B233" s="163"/>
      <c r="C233" s="163"/>
      <c r="D233" s="163"/>
      <c r="E233" s="163"/>
      <c r="F233" s="163"/>
      <c r="G233" s="163"/>
      <c r="H233" s="163"/>
      <c r="I233" s="163"/>
      <c r="K233" s="123"/>
      <c r="L233" s="123"/>
    </row>
    <row r="234" spans="1:12" x14ac:dyDescent="0.25">
      <c r="A234" s="123"/>
      <c r="B234" s="123"/>
      <c r="C234" s="127">
        <f>SUM(C235:C237)</f>
        <v>87</v>
      </c>
      <c r="D234" s="123"/>
      <c r="E234" s="123"/>
      <c r="F234" s="123"/>
      <c r="G234" s="123"/>
      <c r="H234" s="123"/>
      <c r="I234" s="123"/>
      <c r="K234" s="123"/>
      <c r="L234" s="123"/>
    </row>
    <row r="235" spans="1:12" x14ac:dyDescent="0.25">
      <c r="A235" s="30" t="s">
        <v>39</v>
      </c>
      <c r="C235" s="84">
        <f>COUNTIFS(tcl,A235,SuchSpalte,AuswahlFilter1)</f>
        <v>49</v>
      </c>
      <c r="D235" s="84" t="str">
        <f>IF(COUNTIFS(tcl,A235,SuchSpalte,AuswahlFilter2)=1,"X","")</f>
        <v/>
      </c>
    </row>
    <row r="236" spans="1:12" x14ac:dyDescent="0.25">
      <c r="A236" s="30" t="s">
        <v>211</v>
      </c>
      <c r="C236" s="85">
        <f>COUNTIFS(tcl,A236,SuchSpalte,AuswahlFilter1)</f>
        <v>26</v>
      </c>
      <c r="D236" s="85" t="str">
        <f>IF(COUNTIFS(tcl,A236,SuchSpalte,AuswahlFilter2)=1,"X","")</f>
        <v/>
      </c>
    </row>
    <row r="237" spans="1:12" x14ac:dyDescent="0.25">
      <c r="A237" s="30" t="s">
        <v>33</v>
      </c>
      <c r="C237" s="85">
        <f>COUNTIFS(tcl,A237,SuchSpalte,AuswahlFilter1)</f>
        <v>12</v>
      </c>
      <c r="D237" s="85" t="str">
        <f>IF(COUNTIFS(tcl,A237,SuchSpalte,AuswahlFilter2)=1,"X","")</f>
        <v/>
      </c>
    </row>
    <row r="238" spans="1:12" x14ac:dyDescent="0.25">
      <c r="D238" s="63"/>
    </row>
    <row r="239" spans="1:12" x14ac:dyDescent="0.25">
      <c r="D239" s="63"/>
    </row>
    <row r="240" spans="1:12" x14ac:dyDescent="0.25">
      <c r="A240" s="3" t="s">
        <v>81</v>
      </c>
      <c r="B240" s="3"/>
      <c r="C240" s="3"/>
      <c r="D240" s="63"/>
    </row>
    <row r="241" spans="1:7" x14ac:dyDescent="0.25">
      <c r="D241" s="63"/>
    </row>
    <row r="242" spans="1:7" x14ac:dyDescent="0.25">
      <c r="A242" s="3" t="s">
        <v>82</v>
      </c>
      <c r="D242" s="63"/>
    </row>
    <row r="243" spans="1:7" x14ac:dyDescent="0.25">
      <c r="A243" s="3"/>
      <c r="C243" s="127">
        <f>SUM(C244:C246)</f>
        <v>32</v>
      </c>
      <c r="D243" s="63"/>
    </row>
    <row r="244" spans="1:7" x14ac:dyDescent="0.25">
      <c r="A244" s="30" t="s">
        <v>212</v>
      </c>
      <c r="C244" s="84">
        <f>COUNTIFS(tcm,A244,SuchSpalte,AuswahlFilter1)</f>
        <v>19</v>
      </c>
      <c r="D244" s="84" t="str">
        <f>IF(COUNTIFS(tcm,A244,SuchSpalte,AuswahlFilter2)=1,"X","")</f>
        <v/>
      </c>
    </row>
    <row r="245" spans="1:7" x14ac:dyDescent="0.25">
      <c r="A245" s="30" t="s">
        <v>213</v>
      </c>
      <c r="C245" s="85">
        <f>COUNTIFS(tcm,A245,SuchSpalte,AuswahlFilter1)</f>
        <v>11</v>
      </c>
      <c r="D245" s="85" t="str">
        <f>IF(COUNTIFS(tcm,A245,SuchSpalte,AuswahlFilter2)=1,"X","")</f>
        <v/>
      </c>
    </row>
    <row r="246" spans="1:7" x14ac:dyDescent="0.25">
      <c r="A246" s="30" t="s">
        <v>214</v>
      </c>
      <c r="C246" s="85">
        <f>COUNTIFS(tcm,"5 Jahren",SuchSpalte,AuswahlFilter1)</f>
        <v>2</v>
      </c>
      <c r="D246" s="85" t="str">
        <f>IF(COUNTIFS(tcm,A246,SuchSpalte,AuswahlFilter2)=1,"X","")</f>
        <v/>
      </c>
    </row>
    <row r="247" spans="1:7" x14ac:dyDescent="0.25">
      <c r="C247" s="6"/>
      <c r="D247" s="6"/>
    </row>
    <row r="248" spans="1:7" x14ac:dyDescent="0.25">
      <c r="A248" s="3" t="s">
        <v>85</v>
      </c>
      <c r="D248" s="63"/>
    </row>
    <row r="249" spans="1:7" x14ac:dyDescent="0.25">
      <c r="A249" s="3"/>
      <c r="C249" s="127">
        <f>SUM(C250:C252)</f>
        <v>2</v>
      </c>
      <c r="D249" s="63"/>
    </row>
    <row r="250" spans="1:7" x14ac:dyDescent="0.25">
      <c r="A250" s="30" t="s">
        <v>104</v>
      </c>
      <c r="C250" s="84">
        <f>COUNTIFS(tct,A250,SuchSpalte,AuswahlFilter1)</f>
        <v>1</v>
      </c>
      <c r="D250" s="84" t="str">
        <f>IF(COUNTIFS(tct,A250,SuchSpalte,AuswahlFilter2)=1,"X","")</f>
        <v/>
      </c>
    </row>
    <row r="251" spans="1:7" x14ac:dyDescent="0.25">
      <c r="A251" s="30" t="s">
        <v>215</v>
      </c>
      <c r="C251" s="85">
        <f>COUNTIFS(tct,A251,SuchSpalte,AuswahlFilter1)</f>
        <v>1</v>
      </c>
      <c r="D251" s="85" t="str">
        <f>IF(COUNTIFS(tct,A251,SuchSpalte,AuswahlFilter2)=1,"X","")</f>
        <v/>
      </c>
    </row>
    <row r="252" spans="1:7" x14ac:dyDescent="0.25">
      <c r="A252" s="30" t="s">
        <v>209</v>
      </c>
      <c r="C252" s="85">
        <f>COUNTIFS(tct,A252,SuchSpalte,AuswahlFilter1)</f>
        <v>0</v>
      </c>
      <c r="D252" s="85" t="str">
        <f>IF(COUNTIFS(tct,A252,SuchSpalte,AuswahlFilter2)=1,"X","")</f>
        <v/>
      </c>
    </row>
    <row r="253" spans="1:7" x14ac:dyDescent="0.25">
      <c r="C253" s="80"/>
      <c r="D253" s="80"/>
    </row>
    <row r="254" spans="1:7" x14ac:dyDescent="0.25">
      <c r="A254" s="164" t="s">
        <v>86</v>
      </c>
      <c r="B254" s="164"/>
      <c r="C254" s="164"/>
      <c r="D254" s="164"/>
      <c r="E254" s="164"/>
      <c r="F254" s="164"/>
      <c r="G254" s="164"/>
    </row>
    <row r="255" spans="1:7" x14ac:dyDescent="0.25">
      <c r="A255" s="124"/>
      <c r="B255" s="124"/>
      <c r="C255" s="127">
        <f>SUM(C256:C260)</f>
        <v>39</v>
      </c>
      <c r="D255" s="124"/>
      <c r="E255" s="124"/>
      <c r="F255" s="124"/>
      <c r="G255" s="124"/>
    </row>
    <row r="256" spans="1:7" x14ac:dyDescent="0.25">
      <c r="A256" s="30" t="s">
        <v>39</v>
      </c>
      <c r="C256" s="84">
        <f>COUNTIFS(tcu,A256,SuchSpalte,AuswahlFilter1)</f>
        <v>26</v>
      </c>
      <c r="D256" s="84" t="str">
        <f>IF(COUNTIFS(tcu,A256,SuchSpalte,AuswahlFilter2)=1,"X","")</f>
        <v/>
      </c>
    </row>
    <row r="257" spans="1:12" x14ac:dyDescent="0.25">
      <c r="A257" s="30" t="s">
        <v>216</v>
      </c>
      <c r="C257" s="85">
        <f>COUNTIFS(tcu,A257,SuchSpalte,AuswahlFilter1)</f>
        <v>5</v>
      </c>
      <c r="D257" s="85" t="str">
        <f>IF(COUNTIFS(tcu,A257,SuchSpalte,AuswahlFilter2)=1,"X","")</f>
        <v/>
      </c>
    </row>
    <row r="258" spans="1:12" x14ac:dyDescent="0.25">
      <c r="A258" s="30" t="s">
        <v>217</v>
      </c>
      <c r="C258" s="85">
        <f>COUNTIFS(tcu,A258,SuchSpalte,AuswahlFilter1)</f>
        <v>4</v>
      </c>
      <c r="D258" s="85" t="str">
        <f>IF(COUNTIFS(tcu,A258,SuchSpalte,AuswahlFilter2)=1,"X","")</f>
        <v/>
      </c>
    </row>
    <row r="259" spans="1:12" x14ac:dyDescent="0.25">
      <c r="A259" s="30" t="s">
        <v>218</v>
      </c>
      <c r="C259" s="84">
        <f>COUNTIFS(tcu,A259,SuchSpalte,AuswahlFilter1)</f>
        <v>1</v>
      </c>
      <c r="D259" s="84" t="str">
        <f>IF(COUNTIFS(tcu,A259,SuchSpalte,AuswahlFilter2)=1,"X","")</f>
        <v/>
      </c>
    </row>
    <row r="260" spans="1:12" x14ac:dyDescent="0.25">
      <c r="A260" s="30" t="s">
        <v>219</v>
      </c>
      <c r="C260" s="85">
        <f>COUNTIFS(tcu,A260,SuchSpalte,AuswahlFilter1)</f>
        <v>3</v>
      </c>
      <c r="D260" s="85" t="str">
        <f>IF(COUNTIFS(tcu,A260,SuchSpalte,AuswahlFilter2)=1,"X","")</f>
        <v/>
      </c>
    </row>
    <row r="262" spans="1:12" x14ac:dyDescent="0.25">
      <c r="A262" s="163" t="s">
        <v>229</v>
      </c>
      <c r="B262" s="163"/>
      <c r="C262" s="163"/>
      <c r="D262" s="163"/>
      <c r="E262" s="163"/>
      <c r="F262" s="163"/>
      <c r="G262" s="163"/>
      <c r="H262" s="163"/>
      <c r="I262" s="163"/>
      <c r="K262" s="123"/>
      <c r="L262" s="123"/>
    </row>
    <row r="263" spans="1:12" x14ac:dyDescent="0.25">
      <c r="C263" s="128">
        <f>SUM(C264:C271)</f>
        <v>329</v>
      </c>
    </row>
    <row r="264" spans="1:12" x14ac:dyDescent="0.25">
      <c r="A264" s="30" t="s">
        <v>88</v>
      </c>
      <c r="C264" s="84">
        <f>COUNTIFS(tcv,TRUE,SuchSpalte,AuswahlFilter1)</f>
        <v>43</v>
      </c>
      <c r="D264" s="84" t="str">
        <f>IF(COUNTIFS(tcv,TRUE,SuchSpalte,AuswahlFilter2)=1,"X","")</f>
        <v/>
      </c>
    </row>
    <row r="265" spans="1:12" x14ac:dyDescent="0.25">
      <c r="A265" s="30" t="s">
        <v>89</v>
      </c>
      <c r="C265" s="85">
        <f>COUNTIFS(tcw,TRUE,SuchSpalte,AuswahlFilter1)</f>
        <v>60</v>
      </c>
      <c r="D265" s="85" t="str">
        <f>IF(COUNTIFS(tcw,TRUE,SuchSpalte,AuswahlFilter2)=1,"X","")</f>
        <v/>
      </c>
    </row>
    <row r="266" spans="1:12" x14ac:dyDescent="0.25">
      <c r="A266" s="35" t="s">
        <v>230</v>
      </c>
      <c r="B266" s="24"/>
      <c r="C266" s="85">
        <f>COUNTIFS(tcx,TRUE,SuchSpalte,AuswahlFilter1)</f>
        <v>54</v>
      </c>
      <c r="D266" s="85" t="str">
        <f>IF(COUNTIFS(tcx,TRUE,SuchSpalte,AuswahlFilter2)=1,"X","")</f>
        <v/>
      </c>
    </row>
    <row r="267" spans="1:12" x14ac:dyDescent="0.25">
      <c r="A267" s="35" t="s">
        <v>91</v>
      </c>
      <c r="B267" s="24"/>
      <c r="C267" s="84">
        <f>COUNTIFS(tcy,TRUE,SuchSpalte,AuswahlFilter1)</f>
        <v>6</v>
      </c>
      <c r="D267" s="84" t="str">
        <f>IF(COUNTIFS(tcy,TRUE,SuchSpalte,AuswahlFilter2)=1,"X","")</f>
        <v/>
      </c>
    </row>
    <row r="268" spans="1:12" x14ac:dyDescent="0.25">
      <c r="A268" s="30" t="s">
        <v>92</v>
      </c>
      <c r="C268" s="85">
        <f>COUNTIFS(tcz,TRUE,SuchSpalte,AuswahlFilter1)</f>
        <v>60</v>
      </c>
      <c r="D268" s="85" t="str">
        <f>IF(COUNTIFS(tcz,TRUE,SuchSpalte,AuswahlFilter2)=1,"X","")</f>
        <v/>
      </c>
    </row>
    <row r="269" spans="1:12" x14ac:dyDescent="0.25">
      <c r="A269" s="35" t="s">
        <v>93</v>
      </c>
      <c r="B269" s="24"/>
      <c r="C269" s="84">
        <f>COUNTIFS(tda,TRUE,SuchSpalte,AuswahlFilter1)</f>
        <v>44</v>
      </c>
      <c r="D269" s="84" t="str">
        <f>IF(COUNTIFS(tda,TRUE,SuchSpalte,AuswahlFilter2)=1,"X","")</f>
        <v/>
      </c>
    </row>
    <row r="270" spans="1:12" x14ac:dyDescent="0.25">
      <c r="A270" s="35" t="s">
        <v>94</v>
      </c>
      <c r="B270" s="24"/>
      <c r="C270" s="85">
        <f>COUNTIFS(tdb,TRUE,SuchSpalte,AuswahlFilter1)</f>
        <v>38</v>
      </c>
      <c r="D270" s="85" t="str">
        <f>IF(COUNTIFS(tdb,TRUE,SuchSpalte,AuswahlFilter2)=1,"X","")</f>
        <v/>
      </c>
    </row>
    <row r="271" spans="1:12" x14ac:dyDescent="0.25">
      <c r="A271" s="35" t="s">
        <v>95</v>
      </c>
      <c r="B271" s="24"/>
      <c r="C271" s="85">
        <f>COUNTIFS(tdc,TRUE,SuchSpalte,AuswahlFilter1)</f>
        <v>24</v>
      </c>
      <c r="D271" s="85" t="str">
        <f>IF(COUNTIFS(tdc,TRUE,SuchSpalte,AuswahlFilter2)=1,"X","")</f>
        <v/>
      </c>
    </row>
    <row r="273" s="30" customFormat="1" x14ac:dyDescent="0.25"/>
  </sheetData>
  <mergeCells count="21">
    <mergeCell ref="A173:B173"/>
    <mergeCell ref="A2:E2"/>
    <mergeCell ref="A86:F86"/>
    <mergeCell ref="A87:F87"/>
    <mergeCell ref="A113:H113"/>
    <mergeCell ref="A128:I128"/>
    <mergeCell ref="A134:F134"/>
    <mergeCell ref="A135:F135"/>
    <mergeCell ref="A150:I150"/>
    <mergeCell ref="A158:B158"/>
    <mergeCell ref="A160:D160"/>
    <mergeCell ref="A166:B166"/>
    <mergeCell ref="A233:I233"/>
    <mergeCell ref="A254:G254"/>
    <mergeCell ref="A262:I262"/>
    <mergeCell ref="A176:I176"/>
    <mergeCell ref="A209:I209"/>
    <mergeCell ref="A213:F213"/>
    <mergeCell ref="A221:I221"/>
    <mergeCell ref="A229:F229"/>
    <mergeCell ref="A230:F230"/>
  </mergeCell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9221" r:id="rId3" name="Drop Down 5">
              <controlPr defaultSize="0" autoLine="0" autoPict="0">
                <anchor moveWithCells="1">
                  <from>
                    <xdr:col>0</xdr:col>
                    <xdr:colOff>76200</xdr:colOff>
                    <xdr:row>2</xdr:row>
                    <xdr:rowOff>180975</xdr:rowOff>
                  </from>
                  <to>
                    <xdr:col>1</xdr:col>
                    <xdr:colOff>542925</xdr:colOff>
                    <xdr:row>3</xdr:row>
                    <xdr:rowOff>28575</xdr:rowOff>
                  </to>
                </anchor>
              </controlPr>
            </control>
          </mc:Choice>
        </mc:AlternateContent>
        <mc:AlternateContent xmlns:mc="http://schemas.openxmlformats.org/markup-compatibility/2006">
          <mc:Choice Requires="x14">
            <control shapeId="9222" r:id="rId4" name="Scroll Bar 6">
              <controlPr defaultSize="0" autoPict="0">
                <anchor moveWithCells="1">
                  <from>
                    <xdr:col>0</xdr:col>
                    <xdr:colOff>333375</xdr:colOff>
                    <xdr:row>4</xdr:row>
                    <xdr:rowOff>28575</xdr:rowOff>
                  </from>
                  <to>
                    <xdr:col>1</xdr:col>
                    <xdr:colOff>295275</xdr:colOff>
                    <xdr:row>5</xdr:row>
                    <xdr:rowOff>47625</xdr:rowOff>
                  </to>
                </anchor>
              </controlPr>
            </control>
          </mc:Choice>
        </mc:AlternateContent>
        <mc:AlternateContent xmlns:mc="http://schemas.openxmlformats.org/markup-compatibility/2006">
          <mc:Choice Requires="x14">
            <control shapeId="9223" r:id="rId5" name="Drop Down 7">
              <controlPr defaultSize="0" autoLine="0" autoPict="0">
                <anchor moveWithCells="1">
                  <from>
                    <xdr:col>5</xdr:col>
                    <xdr:colOff>1409700</xdr:colOff>
                    <xdr:row>2</xdr:row>
                    <xdr:rowOff>161925</xdr:rowOff>
                  </from>
                  <to>
                    <xdr:col>9</xdr:col>
                    <xdr:colOff>409575</xdr:colOff>
                    <xdr:row>2</xdr:row>
                    <xdr:rowOff>409575</xdr:rowOff>
                  </to>
                </anchor>
              </controlPr>
            </control>
          </mc:Choice>
        </mc:AlternateContent>
        <mc:AlternateContent xmlns:mc="http://schemas.openxmlformats.org/markup-compatibility/2006">
          <mc:Choice Requires="x14">
            <control shapeId="9224" r:id="rId6" name="Scroll Bar 8">
              <controlPr defaultSize="0" autoPict="0">
                <anchor moveWithCells="1">
                  <from>
                    <xdr:col>5</xdr:col>
                    <xdr:colOff>1514475</xdr:colOff>
                    <xdr:row>4</xdr:row>
                    <xdr:rowOff>28575</xdr:rowOff>
                  </from>
                  <to>
                    <xdr:col>9</xdr:col>
                    <xdr:colOff>219075</xdr:colOff>
                    <xdr:row>5</xdr:row>
                    <xdr:rowOff>47625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enableFormatConditionsCalculation="0"/>
  <dimension ref="A4:Q98"/>
  <sheetViews>
    <sheetView showRowColHeaders="0" zoomScale="82" zoomScaleNormal="82" zoomScalePageLayoutView="125" workbookViewId="0">
      <pane ySplit="7" topLeftCell="A8" activePane="bottomLeft" state="frozen"/>
      <selection pane="bottomLeft" activeCell="G98" sqref="G98"/>
    </sheetView>
  </sheetViews>
  <sheetFormatPr baseColWidth="10" defaultColWidth="10.85546875" defaultRowHeight="15" x14ac:dyDescent="0.25"/>
  <cols>
    <col min="1" max="1" width="58.28515625" style="88" bestFit="1" customWidth="1"/>
    <col min="2" max="2" width="15.85546875" style="88" bestFit="1" customWidth="1"/>
    <col min="3" max="3" width="28" style="88" bestFit="1" customWidth="1"/>
    <col min="4" max="4" width="23" style="88" bestFit="1" customWidth="1"/>
    <col min="5" max="5" width="7.42578125" style="88" bestFit="1" customWidth="1"/>
    <col min="6" max="6" width="13.42578125" style="88" bestFit="1" customWidth="1"/>
    <col min="7" max="7" width="20.28515625" style="88" bestFit="1" customWidth="1"/>
    <col min="8" max="8" width="21.140625" style="88" customWidth="1"/>
    <col min="9" max="9" width="36" style="88" bestFit="1" customWidth="1"/>
    <col min="10" max="10" width="33.140625" style="88" bestFit="1" customWidth="1"/>
    <col min="11" max="11" width="20.7109375" style="88" bestFit="1" customWidth="1"/>
    <col min="12" max="12" width="11" style="88" bestFit="1" customWidth="1"/>
    <col min="13" max="13" width="28.140625" style="88" bestFit="1" customWidth="1"/>
    <col min="14" max="14" width="69.140625" style="88" bestFit="1" customWidth="1"/>
    <col min="15" max="15" width="29.7109375" style="88" bestFit="1" customWidth="1"/>
    <col min="16" max="16" width="21" style="88" bestFit="1" customWidth="1"/>
    <col min="17" max="17" width="13.85546875" style="88" bestFit="1" customWidth="1"/>
    <col min="18" max="16384" width="10.85546875" style="88"/>
  </cols>
  <sheetData>
    <row r="4" spans="1:17" ht="38.25" customHeight="1" x14ac:dyDescent="0.25"/>
    <row r="6" spans="1:17" s="90" customFormat="1" x14ac:dyDescent="0.25">
      <c r="A6" s="90" t="s">
        <v>15</v>
      </c>
      <c r="B6" s="90" t="s">
        <v>3</v>
      </c>
      <c r="C6" s="3" t="s">
        <v>5</v>
      </c>
      <c r="D6" s="3" t="s">
        <v>6</v>
      </c>
      <c r="E6" s="3" t="s">
        <v>7</v>
      </c>
      <c r="F6" s="90" t="s">
        <v>8</v>
      </c>
      <c r="G6" s="3" t="s">
        <v>9</v>
      </c>
      <c r="H6" s="3" t="s">
        <v>10</v>
      </c>
      <c r="I6" s="3" t="s">
        <v>11</v>
      </c>
      <c r="J6" s="18" t="s">
        <v>12</v>
      </c>
      <c r="K6" s="3" t="s">
        <v>16</v>
      </c>
      <c r="L6" s="3" t="s">
        <v>1252</v>
      </c>
      <c r="M6" s="90" t="s">
        <v>1248</v>
      </c>
      <c r="N6" s="90" t="s">
        <v>1247</v>
      </c>
      <c r="O6" s="90" t="s">
        <v>1249</v>
      </c>
      <c r="P6" s="90" t="s">
        <v>1250</v>
      </c>
      <c r="Q6" s="90" t="s">
        <v>888</v>
      </c>
    </row>
    <row r="7" spans="1:17" s="89" customFormat="1" x14ac:dyDescent="0.25"/>
    <row r="8" spans="1:17" s="89" customFormat="1" x14ac:dyDescent="0.25"/>
    <row r="9" spans="1:17" s="89" customFormat="1" x14ac:dyDescent="0.25"/>
    <row r="10" spans="1:17" x14ac:dyDescent="0.25">
      <c r="A10" s="88" t="s">
        <v>465</v>
      </c>
      <c r="B10" s="88" t="s">
        <v>108</v>
      </c>
      <c r="C10" s="88" t="s">
        <v>464</v>
      </c>
      <c r="D10" s="88" t="s">
        <v>411</v>
      </c>
      <c r="E10" s="88">
        <v>92526</v>
      </c>
      <c r="F10" s="88" t="s">
        <v>114</v>
      </c>
      <c r="G10" s="88" t="s">
        <v>1810</v>
      </c>
      <c r="H10" s="88" t="s">
        <v>1743</v>
      </c>
      <c r="I10" s="88" t="s">
        <v>461</v>
      </c>
      <c r="J10" s="88" t="s">
        <v>460</v>
      </c>
      <c r="K10" s="88" t="s">
        <v>121</v>
      </c>
      <c r="L10" s="88" t="s">
        <v>132</v>
      </c>
      <c r="M10" s="88" t="s">
        <v>148</v>
      </c>
      <c r="N10" s="88" t="s">
        <v>157</v>
      </c>
      <c r="O10" s="88" t="s">
        <v>162</v>
      </c>
      <c r="P10" s="88" t="s">
        <v>177</v>
      </c>
      <c r="Q10" s="88" t="s">
        <v>182</v>
      </c>
    </row>
    <row r="11" spans="1:17" x14ac:dyDescent="0.25">
      <c r="A11" s="88" t="s">
        <v>1723</v>
      </c>
      <c r="B11" s="88" t="s">
        <v>110</v>
      </c>
      <c r="C11" s="88" t="s">
        <v>787</v>
      </c>
      <c r="D11" s="88" t="s">
        <v>571</v>
      </c>
      <c r="E11" s="88">
        <v>95679</v>
      </c>
      <c r="F11" s="88" t="s">
        <v>114</v>
      </c>
      <c r="G11" s="88" t="s">
        <v>786</v>
      </c>
      <c r="H11" s="88" t="s">
        <v>785</v>
      </c>
      <c r="J11" s="155" t="s">
        <v>784</v>
      </c>
      <c r="K11" s="88" t="s">
        <v>118</v>
      </c>
      <c r="L11" s="88" t="s">
        <v>128</v>
      </c>
      <c r="M11" s="88" t="s">
        <v>148</v>
      </c>
      <c r="N11" s="88" t="s">
        <v>157</v>
      </c>
      <c r="O11" s="88" t="s">
        <v>161</v>
      </c>
      <c r="P11" s="88" t="s">
        <v>177</v>
      </c>
      <c r="Q11" s="88" t="s">
        <v>182</v>
      </c>
    </row>
    <row r="12" spans="1:17" x14ac:dyDescent="0.25">
      <c r="A12" s="88" t="s">
        <v>275</v>
      </c>
      <c r="B12" s="88" t="s">
        <v>109</v>
      </c>
      <c r="C12" s="88" t="s">
        <v>274</v>
      </c>
      <c r="D12" s="88" t="s">
        <v>273</v>
      </c>
      <c r="E12" s="88">
        <v>91281</v>
      </c>
      <c r="F12" s="88" t="s">
        <v>114</v>
      </c>
      <c r="G12" s="88" t="s">
        <v>1811</v>
      </c>
      <c r="H12" s="88" t="s">
        <v>271</v>
      </c>
      <c r="I12" s="88" t="s">
        <v>270</v>
      </c>
      <c r="J12" s="155" t="s">
        <v>269</v>
      </c>
      <c r="K12" s="88" t="s">
        <v>121</v>
      </c>
      <c r="L12" s="88" t="s">
        <v>131</v>
      </c>
      <c r="M12" s="88" t="s">
        <v>148</v>
      </c>
      <c r="N12" s="88" t="s">
        <v>157</v>
      </c>
      <c r="O12" s="88" t="s">
        <v>162</v>
      </c>
      <c r="P12" s="88" t="s">
        <v>258</v>
      </c>
      <c r="Q12" s="88" t="s">
        <v>182</v>
      </c>
    </row>
    <row r="13" spans="1:17" x14ac:dyDescent="0.25">
      <c r="A13" s="88" t="s">
        <v>383</v>
      </c>
      <c r="B13" s="88" t="s">
        <v>112</v>
      </c>
      <c r="C13" s="88" t="s">
        <v>382</v>
      </c>
      <c r="D13" s="88" t="s">
        <v>263</v>
      </c>
      <c r="E13" s="88">
        <v>92637</v>
      </c>
      <c r="F13" s="88" t="s">
        <v>114</v>
      </c>
      <c r="G13" s="88" t="s">
        <v>1812</v>
      </c>
      <c r="H13" s="88" t="s">
        <v>1744</v>
      </c>
      <c r="I13" s="88" t="s">
        <v>379</v>
      </c>
      <c r="J13" s="155" t="s">
        <v>378</v>
      </c>
      <c r="L13" s="88" t="s">
        <v>132</v>
      </c>
      <c r="M13" s="88" t="s">
        <v>149</v>
      </c>
      <c r="N13" s="88" t="s">
        <v>157</v>
      </c>
      <c r="O13" s="88" t="s">
        <v>162</v>
      </c>
      <c r="P13" s="88" t="s">
        <v>177</v>
      </c>
      <c r="Q13" s="88" t="s">
        <v>258</v>
      </c>
    </row>
    <row r="14" spans="1:17" x14ac:dyDescent="0.25">
      <c r="A14" s="88" t="s">
        <v>363</v>
      </c>
      <c r="B14" s="88" t="s">
        <v>109</v>
      </c>
      <c r="C14" s="88" t="s">
        <v>362</v>
      </c>
      <c r="D14" s="88" t="s">
        <v>361</v>
      </c>
      <c r="E14" s="88">
        <v>92693</v>
      </c>
      <c r="F14" s="88" t="s">
        <v>114</v>
      </c>
      <c r="G14" s="88" t="s">
        <v>1741</v>
      </c>
      <c r="H14" s="88" t="s">
        <v>1742</v>
      </c>
      <c r="I14" s="88" t="s">
        <v>360</v>
      </c>
      <c r="J14" s="155" t="s">
        <v>359</v>
      </c>
      <c r="K14" s="88" t="s">
        <v>117</v>
      </c>
      <c r="L14" s="88" t="s">
        <v>130</v>
      </c>
      <c r="M14" s="88" t="s">
        <v>148</v>
      </c>
      <c r="N14" s="88" t="s">
        <v>156</v>
      </c>
      <c r="O14" s="88" t="s">
        <v>161</v>
      </c>
      <c r="P14" s="88" t="s">
        <v>177</v>
      </c>
      <c r="Q14" s="88" t="s">
        <v>183</v>
      </c>
    </row>
    <row r="15" spans="1:17" x14ac:dyDescent="0.25">
      <c r="A15" s="88" t="s">
        <v>306</v>
      </c>
      <c r="B15" s="88" t="s">
        <v>108</v>
      </c>
      <c r="C15" s="88" t="s">
        <v>305</v>
      </c>
      <c r="D15" s="88" t="s">
        <v>304</v>
      </c>
      <c r="E15" s="88">
        <v>92269</v>
      </c>
      <c r="F15" s="88" t="s">
        <v>114</v>
      </c>
      <c r="G15" s="88" t="s">
        <v>1813</v>
      </c>
      <c r="H15" s="88" t="s">
        <v>1745</v>
      </c>
      <c r="I15" s="88" t="s">
        <v>301</v>
      </c>
      <c r="J15" s="155" t="s">
        <v>300</v>
      </c>
      <c r="K15" s="88" t="s">
        <v>118</v>
      </c>
      <c r="M15" s="88" t="s">
        <v>148</v>
      </c>
      <c r="N15" s="88" t="s">
        <v>157</v>
      </c>
      <c r="O15" s="88" t="s">
        <v>161</v>
      </c>
      <c r="P15" s="88" t="s">
        <v>177</v>
      </c>
      <c r="Q15" s="88" t="s">
        <v>183</v>
      </c>
    </row>
    <row r="16" spans="1:17" x14ac:dyDescent="0.25">
      <c r="A16" s="88" t="s">
        <v>668</v>
      </c>
      <c r="B16" s="88" t="s">
        <v>111</v>
      </c>
      <c r="C16" s="88" t="s">
        <v>675</v>
      </c>
      <c r="D16" s="88" t="s">
        <v>674</v>
      </c>
      <c r="E16" s="88">
        <v>92519</v>
      </c>
      <c r="F16" s="88" t="s">
        <v>114</v>
      </c>
      <c r="G16" s="88" t="s">
        <v>1814</v>
      </c>
      <c r="H16" s="88" t="s">
        <v>1746</v>
      </c>
      <c r="I16" s="88" t="s">
        <v>671</v>
      </c>
      <c r="J16" s="155" t="s">
        <v>670</v>
      </c>
      <c r="K16" s="88" t="s">
        <v>118</v>
      </c>
      <c r="M16" s="88" t="s">
        <v>151</v>
      </c>
      <c r="N16" s="88" t="s">
        <v>159</v>
      </c>
      <c r="O16" s="88" t="s">
        <v>161</v>
      </c>
      <c r="P16" s="88" t="s">
        <v>177</v>
      </c>
      <c r="Q16" s="88" t="s">
        <v>185</v>
      </c>
    </row>
    <row r="17" spans="1:17" x14ac:dyDescent="0.25">
      <c r="A17" s="88" t="s">
        <v>772</v>
      </c>
      <c r="B17" s="88" t="s">
        <v>110</v>
      </c>
      <c r="C17" s="88" t="s">
        <v>771</v>
      </c>
      <c r="D17" s="88" t="s">
        <v>665</v>
      </c>
      <c r="E17" s="88">
        <v>92242</v>
      </c>
      <c r="F17" s="88" t="s">
        <v>114</v>
      </c>
      <c r="G17" s="88" t="s">
        <v>1815</v>
      </c>
      <c r="H17" s="88" t="s">
        <v>1747</v>
      </c>
      <c r="I17" s="88" t="s">
        <v>662</v>
      </c>
      <c r="J17" s="156" t="s">
        <v>1728</v>
      </c>
      <c r="K17" s="88" t="s">
        <v>117</v>
      </c>
      <c r="L17" s="88" t="s">
        <v>137</v>
      </c>
      <c r="M17" s="88" t="s">
        <v>148</v>
      </c>
      <c r="N17" s="88" t="s">
        <v>156</v>
      </c>
      <c r="O17" s="88" t="s">
        <v>163</v>
      </c>
      <c r="P17" s="88" t="s">
        <v>258</v>
      </c>
      <c r="Q17" s="88" t="s">
        <v>182</v>
      </c>
    </row>
    <row r="18" spans="1:17" x14ac:dyDescent="0.25">
      <c r="A18" s="88" t="s">
        <v>794</v>
      </c>
      <c r="B18" s="88" t="s">
        <v>110</v>
      </c>
      <c r="C18" s="88" t="s">
        <v>793</v>
      </c>
      <c r="D18" s="88" t="s">
        <v>576</v>
      </c>
      <c r="E18" s="88">
        <v>92536</v>
      </c>
      <c r="F18" s="88" t="s">
        <v>114</v>
      </c>
      <c r="G18" s="88" t="s">
        <v>1816</v>
      </c>
      <c r="H18" s="88" t="s">
        <v>1748</v>
      </c>
      <c r="J18" s="155" t="s">
        <v>790</v>
      </c>
      <c r="K18" s="88" t="s">
        <v>119</v>
      </c>
      <c r="L18" s="88" t="s">
        <v>132</v>
      </c>
      <c r="M18" s="88" t="s">
        <v>150</v>
      </c>
      <c r="N18" s="88" t="s">
        <v>158</v>
      </c>
      <c r="O18" s="88" t="s">
        <v>162</v>
      </c>
      <c r="P18" s="88" t="s">
        <v>177</v>
      </c>
      <c r="Q18" s="88" t="s">
        <v>182</v>
      </c>
    </row>
    <row r="19" spans="1:17" x14ac:dyDescent="0.25">
      <c r="A19" s="88" t="s">
        <v>650</v>
      </c>
      <c r="B19" s="88" t="s">
        <v>110</v>
      </c>
      <c r="C19" s="88" t="s">
        <v>649</v>
      </c>
      <c r="D19" s="88" t="s">
        <v>576</v>
      </c>
      <c r="E19" s="88">
        <v>92536</v>
      </c>
      <c r="F19" s="88" t="s">
        <v>114</v>
      </c>
      <c r="G19" s="88" t="s">
        <v>1817</v>
      </c>
      <c r="H19" s="88" t="s">
        <v>1733</v>
      </c>
      <c r="I19" s="88" t="s">
        <v>646</v>
      </c>
      <c r="J19" s="156" t="s">
        <v>1727</v>
      </c>
      <c r="K19" s="88" t="s">
        <v>119</v>
      </c>
      <c r="L19" s="88" t="s">
        <v>133</v>
      </c>
      <c r="M19" s="88" t="s">
        <v>149</v>
      </c>
      <c r="N19" s="88" t="s">
        <v>156</v>
      </c>
      <c r="O19" s="88" t="s">
        <v>154</v>
      </c>
      <c r="P19" s="88" t="s">
        <v>175</v>
      </c>
      <c r="Q19" s="88" t="s">
        <v>179</v>
      </c>
    </row>
    <row r="20" spans="1:17" x14ac:dyDescent="0.25">
      <c r="A20" s="88" t="s">
        <v>265</v>
      </c>
      <c r="B20" s="88" t="s">
        <v>109</v>
      </c>
      <c r="C20" s="88" t="s">
        <v>264</v>
      </c>
      <c r="D20" s="88" t="s">
        <v>263</v>
      </c>
      <c r="E20" s="88">
        <v>92637</v>
      </c>
      <c r="F20" s="88" t="s">
        <v>114</v>
      </c>
      <c r="G20" s="88" t="s">
        <v>1818</v>
      </c>
      <c r="H20" s="88" t="s">
        <v>1749</v>
      </c>
      <c r="I20" s="88" t="s">
        <v>260</v>
      </c>
      <c r="J20" s="155" t="s">
        <v>259</v>
      </c>
      <c r="K20" s="88" t="s">
        <v>118</v>
      </c>
      <c r="L20" s="88" t="s">
        <v>128</v>
      </c>
      <c r="M20" s="88" t="s">
        <v>148</v>
      </c>
      <c r="N20" s="88" t="s">
        <v>158</v>
      </c>
      <c r="O20" s="88" t="s">
        <v>165</v>
      </c>
      <c r="P20" s="88" t="s">
        <v>176</v>
      </c>
      <c r="Q20" s="88" t="s">
        <v>182</v>
      </c>
    </row>
    <row r="21" spans="1:17" x14ac:dyDescent="0.25">
      <c r="A21" s="88" t="s">
        <v>604</v>
      </c>
      <c r="B21" s="88" t="s">
        <v>109</v>
      </c>
      <c r="C21" s="88" t="s">
        <v>603</v>
      </c>
      <c r="D21" s="88" t="s">
        <v>399</v>
      </c>
      <c r="E21" s="88">
        <v>95703</v>
      </c>
      <c r="F21" s="88" t="s">
        <v>114</v>
      </c>
      <c r="G21" s="88" t="s">
        <v>1819</v>
      </c>
      <c r="H21" s="88" t="s">
        <v>1750</v>
      </c>
      <c r="I21" s="88" t="s">
        <v>601</v>
      </c>
      <c r="J21" s="155" t="s">
        <v>600</v>
      </c>
      <c r="K21" s="88" t="s">
        <v>118</v>
      </c>
      <c r="L21" s="88" t="s">
        <v>132</v>
      </c>
      <c r="M21" s="88" t="s">
        <v>148</v>
      </c>
      <c r="N21" s="88" t="s">
        <v>156</v>
      </c>
      <c r="O21" s="88" t="s">
        <v>161</v>
      </c>
      <c r="P21" s="88" t="s">
        <v>177</v>
      </c>
      <c r="Q21" s="88" t="s">
        <v>183</v>
      </c>
    </row>
    <row r="22" spans="1:17" x14ac:dyDescent="0.25">
      <c r="A22" s="88" t="s">
        <v>347</v>
      </c>
      <c r="B22" s="88" t="s">
        <v>109</v>
      </c>
      <c r="C22" s="88" t="s">
        <v>346</v>
      </c>
      <c r="D22" s="88" t="s">
        <v>263</v>
      </c>
      <c r="E22" s="88">
        <v>92637</v>
      </c>
      <c r="F22" s="88" t="s">
        <v>114</v>
      </c>
      <c r="G22" s="88" t="s">
        <v>1820</v>
      </c>
      <c r="H22" s="88" t="s">
        <v>1751</v>
      </c>
      <c r="I22" s="88" t="s">
        <v>343</v>
      </c>
      <c r="J22" s="155" t="s">
        <v>342</v>
      </c>
      <c r="M22" s="88" t="s">
        <v>148</v>
      </c>
      <c r="N22" s="88" t="s">
        <v>158</v>
      </c>
      <c r="O22" s="88" t="s">
        <v>162</v>
      </c>
      <c r="P22" s="88" t="s">
        <v>177</v>
      </c>
      <c r="Q22" s="88" t="s">
        <v>183</v>
      </c>
    </row>
    <row r="23" spans="1:17" x14ac:dyDescent="0.25">
      <c r="A23" s="88" t="s">
        <v>1326</v>
      </c>
      <c r="B23" s="88" t="s">
        <v>109</v>
      </c>
      <c r="C23" s="88" t="s">
        <v>430</v>
      </c>
      <c r="D23" s="88" t="s">
        <v>429</v>
      </c>
      <c r="E23" s="88">
        <v>92724</v>
      </c>
      <c r="F23" s="88" t="s">
        <v>114</v>
      </c>
      <c r="G23" s="88" t="s">
        <v>1821</v>
      </c>
      <c r="H23" s="88" t="s">
        <v>1752</v>
      </c>
      <c r="J23" s="155" t="s">
        <v>426</v>
      </c>
      <c r="K23" s="88" t="s">
        <v>117</v>
      </c>
      <c r="L23" s="88" t="s">
        <v>130</v>
      </c>
      <c r="M23" s="88" t="s">
        <v>150</v>
      </c>
      <c r="N23" s="88" t="s">
        <v>158</v>
      </c>
      <c r="O23" s="88" t="s">
        <v>161</v>
      </c>
      <c r="P23" s="88" t="s">
        <v>174</v>
      </c>
      <c r="Q23" s="88" t="s">
        <v>185</v>
      </c>
    </row>
    <row r="24" spans="1:17" x14ac:dyDescent="0.25">
      <c r="A24" s="88" t="s">
        <v>326</v>
      </c>
      <c r="B24" s="88" t="s">
        <v>110</v>
      </c>
      <c r="C24" s="88" t="s">
        <v>325</v>
      </c>
      <c r="D24" s="88" t="s">
        <v>324</v>
      </c>
      <c r="E24" s="88">
        <v>92439</v>
      </c>
      <c r="F24" s="88" t="s">
        <v>114</v>
      </c>
      <c r="G24" s="88" t="s">
        <v>1822</v>
      </c>
      <c r="H24" s="88" t="s">
        <v>1753</v>
      </c>
      <c r="I24" s="88" t="s">
        <v>321</v>
      </c>
      <c r="J24" s="155" t="s">
        <v>320</v>
      </c>
      <c r="K24" s="88" t="s">
        <v>118</v>
      </c>
      <c r="L24" s="88" t="s">
        <v>319</v>
      </c>
      <c r="M24" s="88" t="s">
        <v>148</v>
      </c>
      <c r="N24" s="88" t="s">
        <v>157</v>
      </c>
      <c r="O24" s="88" t="s">
        <v>161</v>
      </c>
      <c r="P24" s="88" t="s">
        <v>177</v>
      </c>
      <c r="Q24" s="88" t="s">
        <v>182</v>
      </c>
    </row>
    <row r="25" spans="1:17" x14ac:dyDescent="0.25">
      <c r="A25" s="88" t="s">
        <v>487</v>
      </c>
      <c r="B25" s="88" t="s">
        <v>109</v>
      </c>
      <c r="C25" s="88" t="s">
        <v>486</v>
      </c>
      <c r="D25" s="88" t="s">
        <v>485</v>
      </c>
      <c r="E25" s="88">
        <v>92431</v>
      </c>
      <c r="F25" s="88" t="s">
        <v>114</v>
      </c>
      <c r="G25" s="88" t="s">
        <v>1823</v>
      </c>
      <c r="H25" s="88" t="s">
        <v>1754</v>
      </c>
      <c r="I25" s="88" t="s">
        <v>483</v>
      </c>
      <c r="J25" s="155" t="s">
        <v>482</v>
      </c>
      <c r="M25" s="88" t="s">
        <v>148</v>
      </c>
      <c r="N25" s="88" t="s">
        <v>156</v>
      </c>
      <c r="O25" s="88" t="s">
        <v>154</v>
      </c>
      <c r="P25" s="88" t="s">
        <v>173</v>
      </c>
      <c r="Q25" s="88" t="s">
        <v>181</v>
      </c>
    </row>
    <row r="26" spans="1:17" x14ac:dyDescent="0.25">
      <c r="A26" s="88" t="s">
        <v>799</v>
      </c>
      <c r="B26" s="88" t="s">
        <v>110</v>
      </c>
      <c r="C26" s="88" t="s">
        <v>798</v>
      </c>
      <c r="D26" s="88" t="s">
        <v>797</v>
      </c>
      <c r="E26" s="88">
        <v>95615</v>
      </c>
      <c r="F26" s="88" t="s">
        <v>114</v>
      </c>
      <c r="G26" s="88" t="s">
        <v>1738</v>
      </c>
      <c r="H26" s="88" t="s">
        <v>1739</v>
      </c>
      <c r="J26" s="156" t="s">
        <v>1726</v>
      </c>
      <c r="K26" s="88" t="s">
        <v>122</v>
      </c>
      <c r="L26" s="88" t="s">
        <v>133</v>
      </c>
      <c r="M26" s="88" t="s">
        <v>148</v>
      </c>
      <c r="N26" s="88" t="s">
        <v>159</v>
      </c>
      <c r="O26" s="88" t="s">
        <v>162</v>
      </c>
      <c r="P26" s="88" t="s">
        <v>177</v>
      </c>
      <c r="Q26" s="88" t="s">
        <v>183</v>
      </c>
    </row>
    <row r="27" spans="1:17" x14ac:dyDescent="0.25">
      <c r="A27" s="88" t="s">
        <v>667</v>
      </c>
      <c r="B27" s="88" t="s">
        <v>110</v>
      </c>
      <c r="C27" s="88" t="s">
        <v>666</v>
      </c>
      <c r="D27" s="88" t="s">
        <v>665</v>
      </c>
      <c r="E27" s="88">
        <v>92242</v>
      </c>
      <c r="F27" s="88" t="s">
        <v>114</v>
      </c>
      <c r="G27" s="88" t="s">
        <v>1815</v>
      </c>
      <c r="H27" s="88" t="s">
        <v>1755</v>
      </c>
      <c r="I27" s="88" t="s">
        <v>662</v>
      </c>
      <c r="J27" s="155" t="s">
        <v>661</v>
      </c>
      <c r="M27" s="88" t="s">
        <v>148</v>
      </c>
      <c r="N27" s="88" t="s">
        <v>156</v>
      </c>
      <c r="O27" s="88" t="s">
        <v>161</v>
      </c>
      <c r="P27" s="88" t="s">
        <v>177</v>
      </c>
      <c r="Q27" s="88" t="s">
        <v>184</v>
      </c>
    </row>
    <row r="28" spans="1:17" x14ac:dyDescent="0.25">
      <c r="A28" s="88" t="s">
        <v>295</v>
      </c>
      <c r="B28" s="88" t="s">
        <v>109</v>
      </c>
      <c r="C28" s="88" t="s">
        <v>294</v>
      </c>
      <c r="D28" s="88" t="s">
        <v>293</v>
      </c>
      <c r="E28" s="88">
        <v>92421</v>
      </c>
      <c r="F28" s="88" t="s">
        <v>114</v>
      </c>
      <c r="G28" s="88" t="s">
        <v>1736</v>
      </c>
      <c r="H28" s="88" t="s">
        <v>1737</v>
      </c>
      <c r="I28" s="88" t="s">
        <v>292</v>
      </c>
      <c r="J28" s="156" t="s">
        <v>1729</v>
      </c>
      <c r="K28" s="88" t="s">
        <v>118</v>
      </c>
      <c r="L28" s="88" t="s">
        <v>128</v>
      </c>
      <c r="M28" s="88" t="s">
        <v>148</v>
      </c>
      <c r="N28" s="88" t="s">
        <v>156</v>
      </c>
      <c r="O28" s="88" t="s">
        <v>161</v>
      </c>
      <c r="P28" s="88" t="s">
        <v>258</v>
      </c>
      <c r="Q28" s="88" t="s">
        <v>258</v>
      </c>
    </row>
    <row r="29" spans="1:17" x14ac:dyDescent="0.25">
      <c r="A29" s="88" t="s">
        <v>696</v>
      </c>
      <c r="B29" s="88" t="s">
        <v>109</v>
      </c>
      <c r="C29" s="88" t="s">
        <v>695</v>
      </c>
      <c r="D29" s="88" t="s">
        <v>694</v>
      </c>
      <c r="E29" s="88">
        <v>95652</v>
      </c>
      <c r="F29" s="88" t="s">
        <v>114</v>
      </c>
      <c r="G29" s="88" t="s">
        <v>1824</v>
      </c>
      <c r="H29" s="88" t="s">
        <v>1756</v>
      </c>
      <c r="I29" s="88" t="s">
        <v>692</v>
      </c>
      <c r="J29" s="155" t="s">
        <v>691</v>
      </c>
      <c r="K29" s="88" t="s">
        <v>118</v>
      </c>
      <c r="L29" s="88" t="s">
        <v>128</v>
      </c>
      <c r="M29" s="88" t="s">
        <v>150</v>
      </c>
      <c r="N29" s="88" t="s">
        <v>157</v>
      </c>
      <c r="O29" s="88" t="s">
        <v>161</v>
      </c>
      <c r="P29" s="88" t="s">
        <v>177</v>
      </c>
      <c r="Q29" s="88" t="s">
        <v>182</v>
      </c>
    </row>
    <row r="30" spans="1:17" x14ac:dyDescent="0.25">
      <c r="A30" s="88" t="s">
        <v>446</v>
      </c>
      <c r="B30" s="88" t="s">
        <v>109</v>
      </c>
      <c r="C30" s="88" t="s">
        <v>445</v>
      </c>
      <c r="D30" s="88" t="s">
        <v>263</v>
      </c>
      <c r="E30" s="88">
        <v>92637</v>
      </c>
      <c r="F30" s="88" t="s">
        <v>114</v>
      </c>
      <c r="G30" s="88" t="s">
        <v>1825</v>
      </c>
      <c r="H30" s="88" t="s">
        <v>1757</v>
      </c>
      <c r="I30" s="88" t="s">
        <v>442</v>
      </c>
      <c r="J30" s="155" t="s">
        <v>441</v>
      </c>
      <c r="K30" s="88" t="s">
        <v>119</v>
      </c>
      <c r="L30" s="88" t="s">
        <v>137</v>
      </c>
      <c r="N30" s="88" t="s">
        <v>157</v>
      </c>
      <c r="O30" s="88" t="s">
        <v>163</v>
      </c>
      <c r="P30" s="88" t="s">
        <v>258</v>
      </c>
      <c r="Q30" s="88" t="s">
        <v>182</v>
      </c>
    </row>
    <row r="31" spans="1:17" x14ac:dyDescent="0.25">
      <c r="A31" s="88" t="s">
        <v>474</v>
      </c>
      <c r="B31" s="88" t="s">
        <v>111</v>
      </c>
      <c r="C31" s="88" t="s">
        <v>473</v>
      </c>
      <c r="D31" s="88" t="s">
        <v>472</v>
      </c>
      <c r="E31" s="88">
        <v>92224</v>
      </c>
      <c r="F31" s="88" t="s">
        <v>114</v>
      </c>
      <c r="G31" s="88" t="s">
        <v>1826</v>
      </c>
      <c r="H31" s="88" t="s">
        <v>1735</v>
      </c>
      <c r="I31" s="88" t="s">
        <v>471</v>
      </c>
      <c r="J31" s="155" t="s">
        <v>470</v>
      </c>
      <c r="K31" s="88" t="s">
        <v>117</v>
      </c>
      <c r="L31" s="88" t="s">
        <v>130</v>
      </c>
      <c r="M31" s="88" t="s">
        <v>151</v>
      </c>
      <c r="N31" s="88" t="s">
        <v>157</v>
      </c>
      <c r="O31" s="88" t="s">
        <v>161</v>
      </c>
      <c r="P31" s="88" t="s">
        <v>178</v>
      </c>
      <c r="Q31" s="88" t="s">
        <v>186</v>
      </c>
    </row>
    <row r="32" spans="1:17" x14ac:dyDescent="0.25">
      <c r="A32" s="88" t="s">
        <v>423</v>
      </c>
      <c r="B32" s="88" t="s">
        <v>109</v>
      </c>
      <c r="C32" s="88" t="s">
        <v>422</v>
      </c>
      <c r="D32" s="88" t="s">
        <v>263</v>
      </c>
      <c r="E32" s="88">
        <v>92637</v>
      </c>
      <c r="F32" s="88" t="s">
        <v>114</v>
      </c>
      <c r="G32" s="88" t="s">
        <v>1827</v>
      </c>
      <c r="H32" s="88" t="s">
        <v>1758</v>
      </c>
      <c r="I32" s="88" t="s">
        <v>418</v>
      </c>
      <c r="J32" s="155" t="s">
        <v>417</v>
      </c>
      <c r="K32" s="88" t="s">
        <v>119</v>
      </c>
      <c r="L32" s="88" t="s">
        <v>137</v>
      </c>
      <c r="M32" s="88" t="s">
        <v>148</v>
      </c>
      <c r="N32" s="88" t="s">
        <v>159</v>
      </c>
      <c r="O32" s="88" t="s">
        <v>163</v>
      </c>
      <c r="P32" s="88" t="s">
        <v>177</v>
      </c>
      <c r="Q32" s="88" t="s">
        <v>181</v>
      </c>
    </row>
    <row r="33" spans="1:17" x14ac:dyDescent="0.25">
      <c r="A33" s="88" t="s">
        <v>549</v>
      </c>
      <c r="B33" s="88" t="s">
        <v>109</v>
      </c>
      <c r="C33" s="88" t="s">
        <v>548</v>
      </c>
      <c r="D33" s="88" t="s">
        <v>547</v>
      </c>
      <c r="E33" s="88">
        <v>92442</v>
      </c>
      <c r="F33" s="88" t="s">
        <v>114</v>
      </c>
      <c r="G33" s="88" t="s">
        <v>1828</v>
      </c>
      <c r="H33" s="88" t="s">
        <v>1759</v>
      </c>
      <c r="I33" s="88" t="s">
        <v>544</v>
      </c>
      <c r="J33" s="155" t="s">
        <v>543</v>
      </c>
      <c r="L33" s="88" t="s">
        <v>128</v>
      </c>
      <c r="M33" s="88" t="s">
        <v>148</v>
      </c>
      <c r="N33" s="88" t="s">
        <v>157</v>
      </c>
      <c r="O33" s="88" t="s">
        <v>161</v>
      </c>
      <c r="P33" s="88" t="s">
        <v>177</v>
      </c>
      <c r="Q33" s="88" t="s">
        <v>182</v>
      </c>
    </row>
    <row r="34" spans="1:17" x14ac:dyDescent="0.25">
      <c r="A34" s="88" t="s">
        <v>808</v>
      </c>
      <c r="B34" s="88" t="s">
        <v>110</v>
      </c>
      <c r="C34" s="88" t="s">
        <v>807</v>
      </c>
      <c r="D34" s="88" t="s">
        <v>611</v>
      </c>
      <c r="E34" s="88">
        <v>95671</v>
      </c>
      <c r="F34" s="88" t="s">
        <v>114</v>
      </c>
      <c r="G34" s="88" t="s">
        <v>806</v>
      </c>
      <c r="H34" s="88" t="s">
        <v>805</v>
      </c>
      <c r="I34" s="88" t="s">
        <v>804</v>
      </c>
      <c r="J34" s="155" t="s">
        <v>803</v>
      </c>
      <c r="K34" s="88" t="s">
        <v>118</v>
      </c>
      <c r="L34" s="88" t="s">
        <v>128</v>
      </c>
      <c r="M34" s="88" t="s">
        <v>148</v>
      </c>
      <c r="N34" s="88" t="s">
        <v>156</v>
      </c>
      <c r="O34" s="88" t="s">
        <v>161</v>
      </c>
      <c r="P34" s="88" t="s">
        <v>176</v>
      </c>
      <c r="Q34" s="88" t="s">
        <v>182</v>
      </c>
    </row>
    <row r="35" spans="1:17" x14ac:dyDescent="0.25">
      <c r="A35" s="88" t="s">
        <v>823</v>
      </c>
      <c r="B35" s="88" t="s">
        <v>111</v>
      </c>
      <c r="C35" s="88" t="s">
        <v>822</v>
      </c>
      <c r="D35" s="88" t="s">
        <v>399</v>
      </c>
      <c r="E35" s="88">
        <v>95703</v>
      </c>
      <c r="F35" s="88" t="s">
        <v>114</v>
      </c>
      <c r="G35" s="88" t="s">
        <v>820</v>
      </c>
      <c r="H35" s="88" t="s">
        <v>819</v>
      </c>
      <c r="I35" s="88" t="s">
        <v>818</v>
      </c>
      <c r="J35" s="155" t="s">
        <v>817</v>
      </c>
      <c r="K35" s="88" t="s">
        <v>118</v>
      </c>
      <c r="L35" s="88" t="s">
        <v>128</v>
      </c>
      <c r="M35" s="88" t="s">
        <v>154</v>
      </c>
      <c r="N35" s="88" t="s">
        <v>157</v>
      </c>
      <c r="O35" s="88" t="s">
        <v>161</v>
      </c>
      <c r="P35" s="88" t="s">
        <v>177</v>
      </c>
      <c r="Q35" s="88" t="s">
        <v>184</v>
      </c>
    </row>
    <row r="36" spans="1:17" x14ac:dyDescent="0.25">
      <c r="A36" s="88" t="s">
        <v>371</v>
      </c>
      <c r="B36" s="88" t="s">
        <v>109</v>
      </c>
      <c r="C36" s="88" t="s">
        <v>370</v>
      </c>
      <c r="D36" s="88" t="s">
        <v>293</v>
      </c>
      <c r="E36" s="88">
        <v>92401</v>
      </c>
      <c r="F36" s="88" t="s">
        <v>114</v>
      </c>
      <c r="G36" s="88" t="s">
        <v>1740</v>
      </c>
      <c r="H36" s="88" t="s">
        <v>1740</v>
      </c>
      <c r="I36" s="88" t="s">
        <v>369</v>
      </c>
      <c r="J36" s="156" t="s">
        <v>1725</v>
      </c>
      <c r="K36" s="88" t="s">
        <v>118</v>
      </c>
      <c r="L36" s="88" t="s">
        <v>128</v>
      </c>
      <c r="M36" s="88" t="s">
        <v>148</v>
      </c>
      <c r="N36" s="88" t="s">
        <v>157</v>
      </c>
      <c r="O36" s="88" t="s">
        <v>161</v>
      </c>
      <c r="P36" s="88" t="s">
        <v>178</v>
      </c>
      <c r="Q36" s="88" t="s">
        <v>184</v>
      </c>
    </row>
    <row r="37" spans="1:17" x14ac:dyDescent="0.25">
      <c r="A37" s="88" t="s">
        <v>632</v>
      </c>
      <c r="B37" s="88" t="s">
        <v>109</v>
      </c>
      <c r="C37" s="88" t="s">
        <v>631</v>
      </c>
      <c r="D37" s="88" t="s">
        <v>630</v>
      </c>
      <c r="E37" s="88">
        <v>95506</v>
      </c>
      <c r="F37" s="88" t="s">
        <v>114</v>
      </c>
      <c r="G37" s="88" t="s">
        <v>629</v>
      </c>
      <c r="H37" s="88" t="s">
        <v>628</v>
      </c>
      <c r="I37" s="88" t="s">
        <v>627</v>
      </c>
      <c r="J37" s="155" t="s">
        <v>626</v>
      </c>
      <c r="L37" s="88" t="s">
        <v>625</v>
      </c>
      <c r="M37" s="88" t="s">
        <v>148</v>
      </c>
      <c r="N37" s="88" t="s">
        <v>156</v>
      </c>
      <c r="O37" s="88" t="s">
        <v>161</v>
      </c>
      <c r="P37" s="88" t="s">
        <v>177</v>
      </c>
      <c r="Q37" s="88" t="s">
        <v>183</v>
      </c>
    </row>
    <row r="38" spans="1:17" x14ac:dyDescent="0.25">
      <c r="A38" s="88" t="s">
        <v>723</v>
      </c>
      <c r="B38" s="88" t="s">
        <v>109</v>
      </c>
      <c r="C38" s="88" t="s">
        <v>722</v>
      </c>
      <c r="D38" s="88" t="s">
        <v>721</v>
      </c>
      <c r="E38" s="88">
        <v>92447</v>
      </c>
      <c r="F38" s="88" t="s">
        <v>114</v>
      </c>
      <c r="G38" s="88" t="s">
        <v>1829</v>
      </c>
      <c r="H38" s="88" t="s">
        <v>1760</v>
      </c>
      <c r="J38" s="155" t="s">
        <v>718</v>
      </c>
      <c r="K38" s="88" t="s">
        <v>118</v>
      </c>
      <c r="L38" s="88" t="s">
        <v>128</v>
      </c>
      <c r="M38" s="88" t="s">
        <v>149</v>
      </c>
      <c r="N38" s="88" t="s">
        <v>157</v>
      </c>
      <c r="O38" s="88" t="s">
        <v>161</v>
      </c>
      <c r="P38" s="88" t="s">
        <v>176</v>
      </c>
      <c r="Q38" s="88" t="s">
        <v>180</v>
      </c>
    </row>
    <row r="39" spans="1:17" x14ac:dyDescent="0.25">
      <c r="A39" s="88" t="s">
        <v>596</v>
      </c>
      <c r="B39" s="88" t="s">
        <v>109</v>
      </c>
      <c r="C39" s="88" t="s">
        <v>595</v>
      </c>
      <c r="D39" s="88" t="s">
        <v>594</v>
      </c>
      <c r="E39" s="88">
        <v>92706</v>
      </c>
      <c r="F39" s="88" t="s">
        <v>114</v>
      </c>
      <c r="G39" s="88" t="s">
        <v>1830</v>
      </c>
      <c r="H39" s="88" t="s">
        <v>1761</v>
      </c>
      <c r="I39" s="88" t="s">
        <v>592</v>
      </c>
      <c r="J39" s="155" t="s">
        <v>591</v>
      </c>
      <c r="K39" s="88" t="s">
        <v>118</v>
      </c>
      <c r="L39" s="88" t="s">
        <v>128</v>
      </c>
      <c r="M39" s="88" t="s">
        <v>148</v>
      </c>
      <c r="N39" s="88" t="s">
        <v>156</v>
      </c>
      <c r="O39" s="88" t="s">
        <v>161</v>
      </c>
      <c r="P39" s="88" t="s">
        <v>177</v>
      </c>
      <c r="Q39" s="88" t="s">
        <v>182</v>
      </c>
    </row>
    <row r="40" spans="1:17" x14ac:dyDescent="0.25">
      <c r="A40" s="88" t="s">
        <v>732</v>
      </c>
      <c r="B40" s="88" t="s">
        <v>110</v>
      </c>
      <c r="C40" s="88" t="s">
        <v>731</v>
      </c>
      <c r="D40" s="88" t="s">
        <v>263</v>
      </c>
      <c r="E40" s="88">
        <v>92637</v>
      </c>
      <c r="F40" s="88" t="s">
        <v>114</v>
      </c>
      <c r="G40" s="88" t="s">
        <v>1831</v>
      </c>
      <c r="H40" s="88" t="s">
        <v>1762</v>
      </c>
      <c r="I40" s="88" t="s">
        <v>728</v>
      </c>
      <c r="J40" s="155" t="s">
        <v>727</v>
      </c>
      <c r="K40" s="88" t="s">
        <v>118</v>
      </c>
      <c r="L40" s="88" t="s">
        <v>624</v>
      </c>
      <c r="M40" s="88" t="s">
        <v>148</v>
      </c>
      <c r="N40" s="88" t="s">
        <v>156</v>
      </c>
      <c r="O40" s="88" t="s">
        <v>161</v>
      </c>
      <c r="P40" s="88" t="s">
        <v>258</v>
      </c>
      <c r="Q40" s="88" t="s">
        <v>182</v>
      </c>
    </row>
    <row r="41" spans="1:17" x14ac:dyDescent="0.25">
      <c r="A41" s="88" t="s">
        <v>563</v>
      </c>
      <c r="B41" s="88" t="s">
        <v>109</v>
      </c>
      <c r="C41" s="88" t="s">
        <v>562</v>
      </c>
      <c r="D41" s="88" t="s">
        <v>561</v>
      </c>
      <c r="E41" s="88">
        <v>92237</v>
      </c>
      <c r="F41" s="88" t="s">
        <v>114</v>
      </c>
      <c r="G41" s="88" t="s">
        <v>1832</v>
      </c>
      <c r="H41" s="88" t="s">
        <v>1763</v>
      </c>
      <c r="I41" s="88" t="s">
        <v>558</v>
      </c>
      <c r="J41" s="155" t="s">
        <v>557</v>
      </c>
      <c r="L41" s="88" t="s">
        <v>1025</v>
      </c>
      <c r="M41" s="88" t="s">
        <v>150</v>
      </c>
      <c r="N41" s="88" t="s">
        <v>159</v>
      </c>
      <c r="O41" s="88" t="s">
        <v>161</v>
      </c>
      <c r="P41" s="88" t="s">
        <v>177</v>
      </c>
      <c r="Q41" s="88" t="s">
        <v>184</v>
      </c>
    </row>
    <row r="42" spans="1:17" x14ac:dyDescent="0.25">
      <c r="A42" s="88" t="s">
        <v>705</v>
      </c>
      <c r="B42" s="88" t="s">
        <v>109</v>
      </c>
      <c r="C42" s="88" t="s">
        <v>704</v>
      </c>
      <c r="D42" s="88" t="s">
        <v>263</v>
      </c>
      <c r="E42" s="88">
        <v>92637</v>
      </c>
      <c r="F42" s="88" t="s">
        <v>114</v>
      </c>
      <c r="G42" s="88" t="s">
        <v>1833</v>
      </c>
      <c r="H42" s="88" t="s">
        <v>1764</v>
      </c>
      <c r="I42" s="88" t="s">
        <v>701</v>
      </c>
      <c r="J42" s="155" t="s">
        <v>700</v>
      </c>
      <c r="K42" s="88" t="s">
        <v>123</v>
      </c>
      <c r="L42" s="88" t="s">
        <v>134</v>
      </c>
      <c r="M42" s="88" t="s">
        <v>150</v>
      </c>
      <c r="N42" s="88" t="s">
        <v>157</v>
      </c>
      <c r="O42" s="88" t="s">
        <v>162</v>
      </c>
      <c r="P42" s="88" t="s">
        <v>178</v>
      </c>
      <c r="Q42" s="88" t="s">
        <v>186</v>
      </c>
    </row>
    <row r="43" spans="1:17" x14ac:dyDescent="0.25">
      <c r="A43" s="88" t="s">
        <v>780</v>
      </c>
      <c r="B43" s="88" t="s">
        <v>110</v>
      </c>
      <c r="C43" s="88" t="s">
        <v>779</v>
      </c>
      <c r="D43" s="88" t="s">
        <v>778</v>
      </c>
      <c r="E43" s="88">
        <v>92690</v>
      </c>
      <c r="F43" s="88" t="s">
        <v>114</v>
      </c>
      <c r="G43" s="157" t="s">
        <v>1834</v>
      </c>
      <c r="H43" s="88" t="s">
        <v>1766</v>
      </c>
      <c r="I43" s="88" t="s">
        <v>777</v>
      </c>
      <c r="J43" s="155" t="s">
        <v>776</v>
      </c>
      <c r="K43" s="88" t="s">
        <v>118</v>
      </c>
      <c r="L43" s="88" t="s">
        <v>128</v>
      </c>
      <c r="M43" s="88" t="s">
        <v>148</v>
      </c>
      <c r="N43" s="88" t="s">
        <v>158</v>
      </c>
      <c r="O43" s="88" t="s">
        <v>161</v>
      </c>
      <c r="P43" s="88" t="s">
        <v>177</v>
      </c>
      <c r="Q43" s="88" t="s">
        <v>184</v>
      </c>
    </row>
    <row r="44" spans="1:17" x14ac:dyDescent="0.25">
      <c r="A44" s="88" t="s">
        <v>713</v>
      </c>
      <c r="B44" s="88" t="s">
        <v>110</v>
      </c>
      <c r="C44" s="88" t="s">
        <v>712</v>
      </c>
      <c r="D44" s="88" t="s">
        <v>711</v>
      </c>
      <c r="E44" s="88">
        <v>92699</v>
      </c>
      <c r="F44" s="88" t="s">
        <v>114</v>
      </c>
      <c r="G44" s="88" t="s">
        <v>1835</v>
      </c>
      <c r="H44" s="88" t="s">
        <v>1765</v>
      </c>
      <c r="I44" s="88" t="s">
        <v>708</v>
      </c>
      <c r="J44" s="155" t="s">
        <v>707</v>
      </c>
      <c r="K44" s="88" t="s">
        <v>119</v>
      </c>
      <c r="L44" s="88" t="s">
        <v>143</v>
      </c>
      <c r="M44" s="88" t="s">
        <v>148</v>
      </c>
      <c r="N44" s="88" t="s">
        <v>157</v>
      </c>
      <c r="O44" s="88" t="s">
        <v>167</v>
      </c>
      <c r="P44" s="88" t="s">
        <v>176</v>
      </c>
      <c r="Q44" s="88" t="s">
        <v>181</v>
      </c>
    </row>
    <row r="45" spans="1:17" x14ac:dyDescent="0.25">
      <c r="A45" s="88" t="s">
        <v>832</v>
      </c>
      <c r="B45" s="88" t="s">
        <v>109</v>
      </c>
      <c r="C45" s="88" t="s">
        <v>831</v>
      </c>
      <c r="D45" s="88" t="s">
        <v>830</v>
      </c>
      <c r="E45" s="88">
        <v>92729</v>
      </c>
      <c r="F45" s="88" t="s">
        <v>114</v>
      </c>
      <c r="G45" s="88" t="s">
        <v>1836</v>
      </c>
      <c r="H45" s="88" t="s">
        <v>1767</v>
      </c>
      <c r="I45" s="88" t="s">
        <v>827</v>
      </c>
      <c r="J45" s="155" t="s">
        <v>826</v>
      </c>
      <c r="K45" s="88" t="s">
        <v>119</v>
      </c>
      <c r="L45" s="88" t="s">
        <v>137</v>
      </c>
      <c r="M45" s="88" t="s">
        <v>148</v>
      </c>
      <c r="N45" s="88" t="s">
        <v>156</v>
      </c>
      <c r="O45" s="88" t="s">
        <v>163</v>
      </c>
      <c r="P45" s="88" t="s">
        <v>177</v>
      </c>
      <c r="Q45" s="88" t="s">
        <v>183</v>
      </c>
    </row>
    <row r="46" spans="1:17" x14ac:dyDescent="0.25">
      <c r="A46" s="88" t="s">
        <v>637</v>
      </c>
      <c r="B46" s="88" t="s">
        <v>110</v>
      </c>
      <c r="C46" s="88" t="s">
        <v>636</v>
      </c>
      <c r="D46" s="88" t="s">
        <v>437</v>
      </c>
      <c r="E46" s="88">
        <v>92253</v>
      </c>
      <c r="F46" s="88" t="s">
        <v>114</v>
      </c>
      <c r="G46" s="88" t="s">
        <v>1837</v>
      </c>
      <c r="H46" s="88" t="s">
        <v>1768</v>
      </c>
      <c r="J46" s="155"/>
      <c r="K46" s="88" t="s">
        <v>118</v>
      </c>
      <c r="L46" s="88" t="s">
        <v>128</v>
      </c>
      <c r="M46" s="88" t="s">
        <v>148</v>
      </c>
      <c r="N46" s="88" t="s">
        <v>156</v>
      </c>
      <c r="O46" s="88" t="s">
        <v>161</v>
      </c>
      <c r="P46" s="88" t="s">
        <v>258</v>
      </c>
      <c r="Q46" s="88" t="s">
        <v>182</v>
      </c>
    </row>
    <row r="47" spans="1:17" x14ac:dyDescent="0.25">
      <c r="A47" s="88" t="s">
        <v>391</v>
      </c>
      <c r="B47" s="88" t="s">
        <v>111</v>
      </c>
      <c r="C47" s="88" t="s">
        <v>390</v>
      </c>
      <c r="D47" s="88" t="s">
        <v>389</v>
      </c>
      <c r="E47" s="88">
        <v>93073</v>
      </c>
      <c r="F47" s="88" t="s">
        <v>114</v>
      </c>
      <c r="G47" s="88" t="s">
        <v>388</v>
      </c>
      <c r="H47" s="88" t="s">
        <v>387</v>
      </c>
      <c r="J47" s="155" t="s">
        <v>386</v>
      </c>
      <c r="K47" s="88" t="s">
        <v>118</v>
      </c>
      <c r="L47" s="88" t="s">
        <v>128</v>
      </c>
      <c r="M47" s="88" t="s">
        <v>154</v>
      </c>
      <c r="N47" s="88" t="s">
        <v>157</v>
      </c>
      <c r="O47" s="88" t="s">
        <v>161</v>
      </c>
      <c r="P47" s="88" t="s">
        <v>178</v>
      </c>
      <c r="Q47" s="88" t="s">
        <v>186</v>
      </c>
    </row>
    <row r="48" spans="1:17" x14ac:dyDescent="0.25">
      <c r="A48" s="88" t="s">
        <v>356</v>
      </c>
      <c r="B48" s="88" t="s">
        <v>109</v>
      </c>
      <c r="C48" s="88" t="s">
        <v>355</v>
      </c>
      <c r="D48" s="88" t="s">
        <v>313</v>
      </c>
      <c r="E48" s="88">
        <v>92714</v>
      </c>
      <c r="F48" s="88" t="s">
        <v>114</v>
      </c>
      <c r="G48" s="88" t="s">
        <v>1838</v>
      </c>
      <c r="H48" s="88" t="s">
        <v>1769</v>
      </c>
      <c r="I48" s="88" t="s">
        <v>352</v>
      </c>
      <c r="J48" s="155" t="s">
        <v>351</v>
      </c>
      <c r="K48" s="88" t="s">
        <v>118</v>
      </c>
      <c r="L48" s="88" t="s">
        <v>128</v>
      </c>
      <c r="M48" s="88" t="s">
        <v>148</v>
      </c>
      <c r="N48" s="88" t="s">
        <v>159</v>
      </c>
      <c r="O48" s="88" t="s">
        <v>161</v>
      </c>
      <c r="P48" s="88" t="s">
        <v>177</v>
      </c>
      <c r="Q48" s="88" t="s">
        <v>184</v>
      </c>
    </row>
    <row r="49" spans="1:17" x14ac:dyDescent="0.25">
      <c r="A49" s="88" t="s">
        <v>401</v>
      </c>
      <c r="B49" s="88" t="s">
        <v>109</v>
      </c>
      <c r="C49" s="88" t="s">
        <v>400</v>
      </c>
      <c r="D49" s="88" t="s">
        <v>399</v>
      </c>
      <c r="E49" s="88">
        <v>95703</v>
      </c>
      <c r="F49" s="88" t="s">
        <v>114</v>
      </c>
      <c r="G49" s="88" t="s">
        <v>1839</v>
      </c>
      <c r="H49" s="88" t="s">
        <v>1770</v>
      </c>
      <c r="I49" s="88" t="s">
        <v>396</v>
      </c>
      <c r="J49" s="155" t="s">
        <v>395</v>
      </c>
      <c r="K49" s="88" t="s">
        <v>118</v>
      </c>
      <c r="L49" s="88" t="s">
        <v>908</v>
      </c>
      <c r="M49" s="88" t="s">
        <v>148</v>
      </c>
      <c r="N49" s="88" t="s">
        <v>156</v>
      </c>
      <c r="O49" s="88" t="s">
        <v>161</v>
      </c>
      <c r="P49" s="88" t="s">
        <v>177</v>
      </c>
      <c r="Q49" s="88" t="s">
        <v>184</v>
      </c>
    </row>
    <row r="50" spans="1:17" x14ac:dyDescent="0.25">
      <c r="A50" s="88" t="s">
        <v>521</v>
      </c>
      <c r="B50" s="88" t="s">
        <v>109</v>
      </c>
      <c r="C50" s="88" t="s">
        <v>520</v>
      </c>
      <c r="D50" s="88" t="s">
        <v>519</v>
      </c>
      <c r="E50" s="88">
        <v>92263</v>
      </c>
      <c r="F50" s="88" t="s">
        <v>114</v>
      </c>
      <c r="G50" s="88" t="s">
        <v>1840</v>
      </c>
      <c r="H50" s="88" t="s">
        <v>517</v>
      </c>
      <c r="I50" s="88" t="s">
        <v>516</v>
      </c>
      <c r="J50" s="155" t="s">
        <v>515</v>
      </c>
      <c r="L50" s="88" t="s">
        <v>145</v>
      </c>
      <c r="M50" s="88" t="s">
        <v>148</v>
      </c>
      <c r="N50" s="88" t="s">
        <v>159</v>
      </c>
      <c r="O50" s="88" t="s">
        <v>165</v>
      </c>
      <c r="P50" s="88" t="s">
        <v>176</v>
      </c>
      <c r="Q50" s="88" t="s">
        <v>181</v>
      </c>
    </row>
    <row r="51" spans="1:17" x14ac:dyDescent="0.25">
      <c r="A51" s="88" t="s">
        <v>688</v>
      </c>
      <c r="B51" s="88" t="s">
        <v>109</v>
      </c>
      <c r="C51" s="88" t="s">
        <v>687</v>
      </c>
      <c r="D51" s="88" t="s">
        <v>335</v>
      </c>
      <c r="E51" s="88">
        <v>93133</v>
      </c>
      <c r="F51" s="88" t="s">
        <v>114</v>
      </c>
      <c r="G51" s="88" t="s">
        <v>1841</v>
      </c>
      <c r="H51" s="88" t="s">
        <v>1771</v>
      </c>
      <c r="I51" s="88" t="s">
        <v>684</v>
      </c>
      <c r="J51" s="155" t="s">
        <v>683</v>
      </c>
      <c r="K51" s="88" t="s">
        <v>121</v>
      </c>
      <c r="L51" s="88" t="s">
        <v>132</v>
      </c>
      <c r="M51" s="88" t="s">
        <v>149</v>
      </c>
      <c r="N51" s="88" t="s">
        <v>156</v>
      </c>
      <c r="O51" s="88" t="s">
        <v>162</v>
      </c>
      <c r="P51" s="88" t="s">
        <v>177</v>
      </c>
      <c r="Q51" s="88" t="s">
        <v>181</v>
      </c>
    </row>
    <row r="52" spans="1:17" x14ac:dyDescent="0.25">
      <c r="A52" s="88" t="s">
        <v>573</v>
      </c>
      <c r="B52" s="88" t="s">
        <v>109</v>
      </c>
      <c r="C52" s="88" t="s">
        <v>572</v>
      </c>
      <c r="D52" s="88" t="s">
        <v>571</v>
      </c>
      <c r="E52" s="88">
        <v>95679</v>
      </c>
      <c r="F52" s="88" t="s">
        <v>114</v>
      </c>
      <c r="G52" s="88" t="s">
        <v>570</v>
      </c>
      <c r="H52" s="88" t="s">
        <v>569</v>
      </c>
      <c r="J52" s="155" t="s">
        <v>568</v>
      </c>
      <c r="K52" s="88" t="s">
        <v>118</v>
      </c>
      <c r="L52" s="88" t="s">
        <v>128</v>
      </c>
      <c r="M52" s="88" t="s">
        <v>148</v>
      </c>
      <c r="N52" s="88" t="s">
        <v>158</v>
      </c>
      <c r="O52" s="88" t="s">
        <v>161</v>
      </c>
      <c r="P52" s="88" t="s">
        <v>177</v>
      </c>
      <c r="Q52" s="88" t="s">
        <v>182</v>
      </c>
    </row>
    <row r="53" spans="1:17" x14ac:dyDescent="0.25">
      <c r="A53" s="88" t="s">
        <v>439</v>
      </c>
      <c r="B53" s="88" t="s">
        <v>109</v>
      </c>
      <c r="C53" s="88" t="s">
        <v>438</v>
      </c>
      <c r="D53" s="88" t="s">
        <v>437</v>
      </c>
      <c r="E53" s="88">
        <v>92253</v>
      </c>
      <c r="F53" s="88" t="s">
        <v>114</v>
      </c>
      <c r="G53" s="88" t="s">
        <v>1842</v>
      </c>
      <c r="H53" s="88" t="s">
        <v>1772</v>
      </c>
      <c r="I53" s="88" t="s">
        <v>436</v>
      </c>
      <c r="J53" s="155" t="s">
        <v>435</v>
      </c>
      <c r="M53" s="88" t="s">
        <v>148</v>
      </c>
      <c r="N53" s="88" t="s">
        <v>156</v>
      </c>
      <c r="O53" s="88" t="s">
        <v>163</v>
      </c>
      <c r="P53" s="88" t="s">
        <v>178</v>
      </c>
      <c r="Q53" s="88" t="s">
        <v>181</v>
      </c>
    </row>
    <row r="54" spans="1:17" x14ac:dyDescent="0.25">
      <c r="A54" s="88" t="s">
        <v>613</v>
      </c>
      <c r="B54" s="88" t="s">
        <v>110</v>
      </c>
      <c r="C54" s="88" t="s">
        <v>612</v>
      </c>
      <c r="D54" s="88" t="s">
        <v>611</v>
      </c>
      <c r="E54" s="88">
        <v>95671</v>
      </c>
      <c r="F54" s="88" t="s">
        <v>114</v>
      </c>
      <c r="G54" s="88" t="s">
        <v>1843</v>
      </c>
      <c r="H54" s="88" t="s">
        <v>1773</v>
      </c>
      <c r="I54" s="88" t="s">
        <v>608</v>
      </c>
      <c r="J54" s="155" t="s">
        <v>607</v>
      </c>
      <c r="K54" s="88" t="s">
        <v>121</v>
      </c>
      <c r="L54" s="88" t="s">
        <v>132</v>
      </c>
      <c r="M54" s="88" t="s">
        <v>148</v>
      </c>
      <c r="N54" s="88" t="s">
        <v>156</v>
      </c>
      <c r="O54" s="88" t="s">
        <v>162</v>
      </c>
      <c r="P54" s="88" t="s">
        <v>177</v>
      </c>
      <c r="Q54" s="88" t="s">
        <v>181</v>
      </c>
    </row>
    <row r="55" spans="1:17" x14ac:dyDescent="0.25">
      <c r="A55" s="88" t="s">
        <v>337</v>
      </c>
      <c r="B55" s="88" t="s">
        <v>109</v>
      </c>
      <c r="C55" s="88" t="s">
        <v>336</v>
      </c>
      <c r="D55" s="88" t="s">
        <v>335</v>
      </c>
      <c r="E55" s="88">
        <v>93133</v>
      </c>
      <c r="F55" s="88" t="s">
        <v>114</v>
      </c>
      <c r="G55" s="88" t="s">
        <v>1844</v>
      </c>
      <c r="H55" s="88" t="s">
        <v>1774</v>
      </c>
      <c r="I55" s="88" t="s">
        <v>332</v>
      </c>
      <c r="J55" s="155" t="s">
        <v>331</v>
      </c>
      <c r="K55" s="88" t="s">
        <v>121</v>
      </c>
      <c r="L55" s="88" t="s">
        <v>132</v>
      </c>
      <c r="M55" s="88" t="s">
        <v>150</v>
      </c>
      <c r="N55" s="88" t="s">
        <v>158</v>
      </c>
      <c r="O55" s="88" t="s">
        <v>162</v>
      </c>
      <c r="P55" s="88" t="s">
        <v>177</v>
      </c>
      <c r="Q55" s="88" t="s">
        <v>181</v>
      </c>
    </row>
    <row r="56" spans="1:17" x14ac:dyDescent="0.25">
      <c r="A56" s="88" t="s">
        <v>540</v>
      </c>
      <c r="B56" s="88" t="s">
        <v>109</v>
      </c>
      <c r="C56" s="88" t="s">
        <v>539</v>
      </c>
      <c r="D56" s="88" t="s">
        <v>538</v>
      </c>
      <c r="E56" s="88">
        <v>92685</v>
      </c>
      <c r="F56" s="88" t="s">
        <v>114</v>
      </c>
      <c r="G56" s="88" t="s">
        <v>1845</v>
      </c>
      <c r="H56" s="88" t="s">
        <v>1775</v>
      </c>
      <c r="I56" s="88" t="s">
        <v>535</v>
      </c>
      <c r="J56" s="155" t="s">
        <v>534</v>
      </c>
      <c r="K56" s="88" t="s">
        <v>117</v>
      </c>
      <c r="L56" s="88" t="s">
        <v>130</v>
      </c>
      <c r="M56" s="88" t="s">
        <v>150</v>
      </c>
      <c r="N56" s="88" t="s">
        <v>157</v>
      </c>
      <c r="O56" s="88" t="s">
        <v>161</v>
      </c>
      <c r="P56" s="88" t="s">
        <v>178</v>
      </c>
      <c r="Q56" s="88" t="s">
        <v>184</v>
      </c>
    </row>
    <row r="57" spans="1:17" x14ac:dyDescent="0.25">
      <c r="A57" s="88" t="s">
        <v>622</v>
      </c>
      <c r="B57" s="88" t="s">
        <v>109</v>
      </c>
      <c r="C57" s="88" t="s">
        <v>621</v>
      </c>
      <c r="D57" s="88" t="s">
        <v>620</v>
      </c>
      <c r="E57" s="88">
        <v>95519</v>
      </c>
      <c r="F57" s="88" t="s">
        <v>114</v>
      </c>
      <c r="G57" s="88" t="s">
        <v>1734</v>
      </c>
      <c r="I57" s="88" t="s">
        <v>618</v>
      </c>
      <c r="J57" s="155" t="s">
        <v>617</v>
      </c>
      <c r="K57" s="88" t="s">
        <v>117</v>
      </c>
      <c r="L57" s="88" t="s">
        <v>130</v>
      </c>
      <c r="M57" s="88" t="s">
        <v>151</v>
      </c>
      <c r="N57" s="88" t="s">
        <v>157</v>
      </c>
      <c r="O57" s="88" t="s">
        <v>161</v>
      </c>
      <c r="P57" s="88" t="s">
        <v>177</v>
      </c>
      <c r="Q57" s="88" t="s">
        <v>185</v>
      </c>
    </row>
    <row r="58" spans="1:17" x14ac:dyDescent="0.25">
      <c r="A58" s="88" t="s">
        <v>578</v>
      </c>
      <c r="B58" s="88" t="s">
        <v>109</v>
      </c>
      <c r="C58" s="88" t="s">
        <v>577</v>
      </c>
      <c r="D58" s="88" t="s">
        <v>576</v>
      </c>
      <c r="E58" s="88">
        <v>92536</v>
      </c>
      <c r="F58" s="88" t="s">
        <v>114</v>
      </c>
      <c r="G58" s="88" t="s">
        <v>1846</v>
      </c>
      <c r="J58" s="155" t="s">
        <v>574</v>
      </c>
      <c r="K58" s="88" t="s">
        <v>120</v>
      </c>
      <c r="L58" s="88" t="s">
        <v>137</v>
      </c>
      <c r="M58" s="88" t="s">
        <v>148</v>
      </c>
      <c r="N58" s="88" t="s">
        <v>157</v>
      </c>
      <c r="O58" s="88" t="s">
        <v>163</v>
      </c>
      <c r="P58" s="88" t="s">
        <v>177</v>
      </c>
      <c r="Q58" s="88" t="s">
        <v>183</v>
      </c>
    </row>
    <row r="59" spans="1:17" x14ac:dyDescent="0.25">
      <c r="A59" s="88" t="s">
        <v>288</v>
      </c>
      <c r="B59" s="88" t="s">
        <v>110</v>
      </c>
      <c r="C59" s="88" t="s">
        <v>287</v>
      </c>
      <c r="D59" s="88" t="s">
        <v>286</v>
      </c>
      <c r="E59" s="88">
        <v>92681</v>
      </c>
      <c r="F59" s="88" t="s">
        <v>114</v>
      </c>
      <c r="G59" s="88" t="s">
        <v>1847</v>
      </c>
      <c r="H59" s="88" t="s">
        <v>1776</v>
      </c>
      <c r="I59" s="88" t="s">
        <v>283</v>
      </c>
      <c r="J59" s="155" t="s">
        <v>282</v>
      </c>
      <c r="K59" s="88" t="s">
        <v>118</v>
      </c>
      <c r="M59" s="88" t="s">
        <v>148</v>
      </c>
      <c r="N59" s="88" t="s">
        <v>157</v>
      </c>
      <c r="O59" s="88" t="s">
        <v>161</v>
      </c>
      <c r="P59" s="88" t="s">
        <v>177</v>
      </c>
      <c r="Q59" s="88" t="s">
        <v>183</v>
      </c>
    </row>
    <row r="60" spans="1:17" x14ac:dyDescent="0.25">
      <c r="A60" s="88" t="s">
        <v>759</v>
      </c>
      <c r="B60" s="88" t="s">
        <v>109</v>
      </c>
      <c r="C60" s="88" t="s">
        <v>758</v>
      </c>
      <c r="D60" s="88" t="s">
        <v>757</v>
      </c>
      <c r="E60" s="88">
        <v>92249</v>
      </c>
      <c r="F60" s="88" t="s">
        <v>114</v>
      </c>
      <c r="G60" s="88" t="s">
        <v>1848</v>
      </c>
      <c r="H60" s="88" t="s">
        <v>1777</v>
      </c>
      <c r="I60" s="88" t="s">
        <v>754</v>
      </c>
      <c r="J60" s="155"/>
      <c r="K60" s="88" t="s">
        <v>120</v>
      </c>
      <c r="L60" s="88" t="s">
        <v>137</v>
      </c>
      <c r="M60" s="88" t="s">
        <v>148</v>
      </c>
      <c r="N60" s="88" t="s">
        <v>156</v>
      </c>
      <c r="O60" s="88" t="s">
        <v>163</v>
      </c>
      <c r="P60" s="88" t="s">
        <v>174</v>
      </c>
      <c r="Q60" s="88" t="s">
        <v>179</v>
      </c>
    </row>
    <row r="61" spans="1:17" x14ac:dyDescent="0.25">
      <c r="A61" s="88" t="s">
        <v>587</v>
      </c>
      <c r="B61" s="88" t="s">
        <v>109</v>
      </c>
      <c r="C61" s="88" t="s">
        <v>586</v>
      </c>
      <c r="D61" s="88" t="s">
        <v>263</v>
      </c>
      <c r="E61" s="88">
        <v>92637</v>
      </c>
      <c r="F61" s="88" t="s">
        <v>114</v>
      </c>
      <c r="G61" s="88" t="s">
        <v>1849</v>
      </c>
      <c r="H61" s="88" t="s">
        <v>1778</v>
      </c>
      <c r="I61" s="88" t="s">
        <v>583</v>
      </c>
      <c r="J61" s="155" t="s">
        <v>582</v>
      </c>
      <c r="K61" s="88" t="s">
        <v>118</v>
      </c>
      <c r="L61" s="88" t="s">
        <v>128</v>
      </c>
      <c r="M61" s="88" t="s">
        <v>148</v>
      </c>
      <c r="N61" s="88" t="s">
        <v>158</v>
      </c>
      <c r="O61" s="88" t="s">
        <v>161</v>
      </c>
      <c r="P61" s="88" t="s">
        <v>177</v>
      </c>
      <c r="Q61" s="88" t="s">
        <v>258</v>
      </c>
    </row>
    <row r="62" spans="1:17" x14ac:dyDescent="0.25">
      <c r="A62" s="88" t="s">
        <v>315</v>
      </c>
      <c r="B62" s="88" t="s">
        <v>105</v>
      </c>
      <c r="C62" s="88" t="s">
        <v>314</v>
      </c>
      <c r="D62" s="88" t="s">
        <v>313</v>
      </c>
      <c r="E62" s="88">
        <v>92714</v>
      </c>
      <c r="F62" s="88" t="s">
        <v>114</v>
      </c>
      <c r="G62" s="88" t="s">
        <v>1850</v>
      </c>
      <c r="H62" s="88" t="s">
        <v>1779</v>
      </c>
      <c r="I62" s="88" t="s">
        <v>310</v>
      </c>
      <c r="J62" s="155"/>
      <c r="K62" s="88" t="s">
        <v>120</v>
      </c>
      <c r="L62" s="88" t="s">
        <v>137</v>
      </c>
      <c r="M62" s="88" t="s">
        <v>148</v>
      </c>
      <c r="N62" s="88" t="s">
        <v>156</v>
      </c>
      <c r="O62" s="88" t="s">
        <v>163</v>
      </c>
      <c r="P62" s="88" t="s">
        <v>176</v>
      </c>
      <c r="Q62" s="88" t="s">
        <v>180</v>
      </c>
    </row>
    <row r="63" spans="1:17" x14ac:dyDescent="0.25">
      <c r="A63" s="88" t="s">
        <v>658</v>
      </c>
      <c r="B63" s="88" t="s">
        <v>109</v>
      </c>
      <c r="C63" s="88" t="s">
        <v>657</v>
      </c>
      <c r="D63" s="88" t="s">
        <v>437</v>
      </c>
      <c r="E63" s="88">
        <v>92253</v>
      </c>
      <c r="F63" s="88" t="s">
        <v>114</v>
      </c>
      <c r="G63" s="88" t="s">
        <v>1851</v>
      </c>
      <c r="H63" s="88" t="s">
        <v>1780</v>
      </c>
      <c r="I63" s="88" t="s">
        <v>654</v>
      </c>
      <c r="J63" s="155" t="s">
        <v>653</v>
      </c>
      <c r="K63" s="88" t="s">
        <v>118</v>
      </c>
      <c r="M63" s="88" t="s">
        <v>148</v>
      </c>
      <c r="N63" s="88" t="s">
        <v>157</v>
      </c>
      <c r="O63" s="88" t="s">
        <v>161</v>
      </c>
      <c r="P63" s="88" t="s">
        <v>177</v>
      </c>
      <c r="Q63" s="88" t="s">
        <v>183</v>
      </c>
    </row>
    <row r="64" spans="1:17" x14ac:dyDescent="0.25">
      <c r="A64" s="88" t="s">
        <v>840</v>
      </c>
      <c r="B64" s="88" t="s">
        <v>111</v>
      </c>
      <c r="C64" s="88" t="s">
        <v>839</v>
      </c>
      <c r="D64" s="88" t="s">
        <v>838</v>
      </c>
      <c r="E64" s="88">
        <v>95478</v>
      </c>
      <c r="F64" s="88" t="s">
        <v>114</v>
      </c>
      <c r="G64" s="88" t="s">
        <v>837</v>
      </c>
      <c r="J64" s="155" t="s">
        <v>836</v>
      </c>
      <c r="K64" s="88" t="s">
        <v>118</v>
      </c>
      <c r="L64" s="88" t="s">
        <v>129</v>
      </c>
      <c r="M64" s="88" t="s">
        <v>151</v>
      </c>
      <c r="N64" s="88" t="s">
        <v>158</v>
      </c>
      <c r="P64" s="88" t="s">
        <v>178</v>
      </c>
      <c r="Q64" s="88" t="s">
        <v>186</v>
      </c>
    </row>
    <row r="65" spans="1:17" x14ac:dyDescent="0.25">
      <c r="A65" s="88" t="s">
        <v>530</v>
      </c>
      <c r="B65" s="88" t="s">
        <v>105</v>
      </c>
      <c r="C65" s="88" t="s">
        <v>529</v>
      </c>
      <c r="D65" s="88" t="s">
        <v>496</v>
      </c>
      <c r="E65" s="88">
        <v>92507</v>
      </c>
      <c r="F65" s="88" t="s">
        <v>114</v>
      </c>
      <c r="G65" s="88" t="s">
        <v>1852</v>
      </c>
      <c r="H65" s="88" t="s">
        <v>1781</v>
      </c>
      <c r="I65" s="88" t="s">
        <v>526</v>
      </c>
      <c r="J65" s="155"/>
      <c r="K65" s="88" t="s">
        <v>119</v>
      </c>
      <c r="L65" s="88" t="s">
        <v>137</v>
      </c>
      <c r="M65" s="88" t="s">
        <v>149</v>
      </c>
      <c r="N65" s="88" t="s">
        <v>156</v>
      </c>
      <c r="O65" s="88" t="s">
        <v>163</v>
      </c>
      <c r="P65" s="88" t="s">
        <v>176</v>
      </c>
      <c r="Q65" s="88" t="s">
        <v>180</v>
      </c>
    </row>
    <row r="66" spans="1:17" x14ac:dyDescent="0.25">
      <c r="A66" s="88" t="s">
        <v>498</v>
      </c>
      <c r="B66" s="88" t="s">
        <v>109</v>
      </c>
      <c r="C66" s="88" t="s">
        <v>497</v>
      </c>
      <c r="D66" s="88" t="s">
        <v>496</v>
      </c>
      <c r="E66" s="88">
        <v>92507</v>
      </c>
      <c r="F66" s="88" t="s">
        <v>114</v>
      </c>
      <c r="G66" s="88" t="s">
        <v>1853</v>
      </c>
      <c r="H66" s="88" t="s">
        <v>1782</v>
      </c>
      <c r="I66" s="88" t="s">
        <v>493</v>
      </c>
      <c r="J66" s="155" t="s">
        <v>492</v>
      </c>
      <c r="K66" s="88" t="s">
        <v>120</v>
      </c>
      <c r="M66" s="88" t="s">
        <v>148</v>
      </c>
      <c r="N66" s="88" t="s">
        <v>156</v>
      </c>
      <c r="O66" s="88" t="s">
        <v>163</v>
      </c>
      <c r="P66" s="88" t="s">
        <v>176</v>
      </c>
      <c r="Q66" s="88" t="s">
        <v>180</v>
      </c>
    </row>
    <row r="67" spans="1:17" x14ac:dyDescent="0.25">
      <c r="A67" s="88" t="s">
        <v>506</v>
      </c>
      <c r="B67" s="88" t="s">
        <v>109</v>
      </c>
      <c r="C67" s="88" t="s">
        <v>505</v>
      </c>
      <c r="D67" s="88" t="s">
        <v>504</v>
      </c>
      <c r="E67" s="88">
        <v>92289</v>
      </c>
      <c r="F67" s="88" t="s">
        <v>114</v>
      </c>
      <c r="G67" s="88" t="s">
        <v>1854</v>
      </c>
      <c r="H67" s="88" t="s">
        <v>1783</v>
      </c>
      <c r="I67" s="88" t="s">
        <v>502</v>
      </c>
      <c r="J67" s="155" t="s">
        <v>501</v>
      </c>
      <c r="K67" s="88" t="s">
        <v>119</v>
      </c>
      <c r="L67" s="88" t="s">
        <v>137</v>
      </c>
      <c r="M67" s="88" t="s">
        <v>149</v>
      </c>
      <c r="N67" s="88" t="s">
        <v>157</v>
      </c>
      <c r="O67" s="88" t="s">
        <v>163</v>
      </c>
      <c r="P67" s="88" t="s">
        <v>176</v>
      </c>
      <c r="Q67" s="88" t="s">
        <v>181</v>
      </c>
    </row>
    <row r="68" spans="1:17" x14ac:dyDescent="0.25">
      <c r="A68" s="88" t="s">
        <v>751</v>
      </c>
      <c r="B68" s="88" t="s">
        <v>109</v>
      </c>
      <c r="C68" s="88" t="s">
        <v>750</v>
      </c>
      <c r="D68" s="88" t="s">
        <v>293</v>
      </c>
      <c r="E68" s="88">
        <v>92421</v>
      </c>
      <c r="F68" s="88" t="s">
        <v>114</v>
      </c>
      <c r="G68" s="88" t="s">
        <v>1855</v>
      </c>
      <c r="H68" s="88" t="s">
        <v>1784</v>
      </c>
      <c r="I68" s="88" t="s">
        <v>747</v>
      </c>
      <c r="J68" s="155" t="s">
        <v>746</v>
      </c>
      <c r="K68" s="88" t="s">
        <v>120</v>
      </c>
      <c r="L68" s="88" t="s">
        <v>137</v>
      </c>
      <c r="M68" s="88" t="s">
        <v>148</v>
      </c>
      <c r="N68" s="88" t="s">
        <v>159</v>
      </c>
      <c r="O68" s="88" t="s">
        <v>163</v>
      </c>
      <c r="P68" s="88" t="s">
        <v>258</v>
      </c>
      <c r="Q68" s="88" t="s">
        <v>182</v>
      </c>
    </row>
    <row r="69" spans="1:17" x14ac:dyDescent="0.25">
      <c r="A69" s="88" t="s">
        <v>413</v>
      </c>
      <c r="B69" s="88" t="s">
        <v>110</v>
      </c>
      <c r="C69" s="88" t="s">
        <v>412</v>
      </c>
      <c r="D69" s="88" t="s">
        <v>411</v>
      </c>
      <c r="E69" s="88">
        <v>92526</v>
      </c>
      <c r="F69" s="88" t="s">
        <v>114</v>
      </c>
      <c r="G69" s="88" t="s">
        <v>1856</v>
      </c>
      <c r="H69" s="88" t="s">
        <v>1785</v>
      </c>
      <c r="I69" s="88" t="s">
        <v>407</v>
      </c>
      <c r="J69" s="155" t="s">
        <v>409</v>
      </c>
      <c r="M69" s="88" t="s">
        <v>151</v>
      </c>
      <c r="N69" s="88" t="s">
        <v>156</v>
      </c>
      <c r="O69" s="88" t="s">
        <v>161</v>
      </c>
      <c r="P69" s="88" t="s">
        <v>177</v>
      </c>
      <c r="Q69" s="88" t="s">
        <v>182</v>
      </c>
    </row>
    <row r="70" spans="1:17" x14ac:dyDescent="0.25">
      <c r="A70" s="88" t="s">
        <v>245</v>
      </c>
      <c r="B70" s="88" t="s">
        <v>110</v>
      </c>
      <c r="C70" s="88" t="s">
        <v>244</v>
      </c>
      <c r="D70" s="88" t="s">
        <v>1208</v>
      </c>
      <c r="E70" s="88">
        <v>92436</v>
      </c>
      <c r="F70" s="88" t="s">
        <v>114</v>
      </c>
      <c r="G70" s="88" t="s">
        <v>1857</v>
      </c>
      <c r="H70" s="88" t="s">
        <v>1786</v>
      </c>
      <c r="I70" s="88" t="s">
        <v>240</v>
      </c>
      <c r="J70" s="155" t="s">
        <v>239</v>
      </c>
      <c r="K70" s="88" t="s">
        <v>118</v>
      </c>
      <c r="L70" s="88" t="s">
        <v>145</v>
      </c>
      <c r="M70" s="88" t="s">
        <v>149</v>
      </c>
      <c r="N70" s="88" t="s">
        <v>156</v>
      </c>
      <c r="O70" s="88" t="s">
        <v>166</v>
      </c>
      <c r="P70" s="88" t="s">
        <v>177</v>
      </c>
      <c r="Q70" s="88" t="s">
        <v>182</v>
      </c>
    </row>
    <row r="71" spans="1:17" x14ac:dyDescent="0.25">
      <c r="A71" s="88" t="s">
        <v>742</v>
      </c>
      <c r="B71" s="88" t="s">
        <v>110</v>
      </c>
      <c r="C71" s="88" t="s">
        <v>741</v>
      </c>
      <c r="D71" s="88" t="s">
        <v>740</v>
      </c>
      <c r="E71" s="88">
        <v>92533</v>
      </c>
      <c r="F71" s="88" t="s">
        <v>114</v>
      </c>
      <c r="G71" s="88" t="s">
        <v>737</v>
      </c>
      <c r="H71" s="88" t="s">
        <v>739</v>
      </c>
      <c r="I71" s="88" t="s">
        <v>736</v>
      </c>
      <c r="J71" s="155" t="s">
        <v>738</v>
      </c>
      <c r="K71" s="88" t="s">
        <v>121</v>
      </c>
      <c r="M71" s="88" t="s">
        <v>148</v>
      </c>
      <c r="N71" s="88" t="s">
        <v>157</v>
      </c>
      <c r="O71" s="88" t="s">
        <v>161</v>
      </c>
      <c r="P71" s="88" t="s">
        <v>176</v>
      </c>
      <c r="Q71" s="88" t="s">
        <v>181</v>
      </c>
    </row>
    <row r="72" spans="1:17" x14ac:dyDescent="0.25">
      <c r="A72" s="88" t="s">
        <v>457</v>
      </c>
      <c r="B72" s="88" t="s">
        <v>109</v>
      </c>
      <c r="C72" s="88" t="s">
        <v>456</v>
      </c>
      <c r="D72" s="88" t="s">
        <v>455</v>
      </c>
      <c r="E72" s="88">
        <v>92711</v>
      </c>
      <c r="F72" s="88" t="s">
        <v>114</v>
      </c>
      <c r="G72" s="88" t="s">
        <v>1858</v>
      </c>
      <c r="H72" s="88" t="s">
        <v>1787</v>
      </c>
      <c r="I72" s="88" t="s">
        <v>452</v>
      </c>
      <c r="J72" s="155" t="s">
        <v>451</v>
      </c>
      <c r="K72" s="88" t="s">
        <v>120</v>
      </c>
      <c r="M72" s="88" t="s">
        <v>148</v>
      </c>
      <c r="N72" s="88" t="s">
        <v>157</v>
      </c>
      <c r="O72" s="88" t="s">
        <v>154</v>
      </c>
      <c r="P72" s="88" t="s">
        <v>178</v>
      </c>
      <c r="Q72" s="88" t="s">
        <v>186</v>
      </c>
    </row>
    <row r="73" spans="1:17" x14ac:dyDescent="0.25">
      <c r="A73" s="88" t="s">
        <v>254</v>
      </c>
      <c r="B73" s="88" t="s">
        <v>111</v>
      </c>
      <c r="C73" s="88" t="s">
        <v>253</v>
      </c>
      <c r="D73" s="88" t="s">
        <v>252</v>
      </c>
      <c r="E73" s="88">
        <v>91275</v>
      </c>
      <c r="F73" s="88" t="s">
        <v>114</v>
      </c>
      <c r="G73" s="88" t="s">
        <v>1859</v>
      </c>
      <c r="J73" s="155"/>
      <c r="K73" s="88" t="s">
        <v>118</v>
      </c>
      <c r="M73" s="88" t="s">
        <v>154</v>
      </c>
      <c r="N73" s="88" t="s">
        <v>158</v>
      </c>
      <c r="O73" s="88" t="s">
        <v>161</v>
      </c>
      <c r="P73" s="88" t="s">
        <v>258</v>
      </c>
      <c r="Q73" s="88" t="s">
        <v>258</v>
      </c>
    </row>
    <row r="74" spans="1:17" x14ac:dyDescent="0.25">
      <c r="A74" s="88" t="s">
        <v>766</v>
      </c>
      <c r="B74" s="88" t="s">
        <v>108</v>
      </c>
      <c r="C74" s="88" t="s">
        <v>765</v>
      </c>
      <c r="D74" s="88" t="s">
        <v>399</v>
      </c>
      <c r="E74" s="88">
        <v>95703</v>
      </c>
      <c r="F74" s="88" t="s">
        <v>114</v>
      </c>
      <c r="G74" s="88" t="s">
        <v>1860</v>
      </c>
      <c r="H74" s="88" t="s">
        <v>1788</v>
      </c>
      <c r="I74" s="88" t="s">
        <v>762</v>
      </c>
      <c r="J74" s="155" t="s">
        <v>761</v>
      </c>
      <c r="K74" s="88" t="s">
        <v>118</v>
      </c>
      <c r="L74" s="88" t="s">
        <v>132</v>
      </c>
      <c r="M74" s="88" t="s">
        <v>148</v>
      </c>
      <c r="N74" s="88" t="s">
        <v>156</v>
      </c>
      <c r="O74" s="88" t="s">
        <v>161</v>
      </c>
      <c r="P74" s="88" t="s">
        <v>178</v>
      </c>
      <c r="Q74" s="88" t="s">
        <v>184</v>
      </c>
    </row>
    <row r="75" spans="1:17" x14ac:dyDescent="0.25">
      <c r="A75" s="88" t="s">
        <v>1027</v>
      </c>
      <c r="B75" s="88" t="s">
        <v>109</v>
      </c>
      <c r="C75" s="88" t="s">
        <v>1028</v>
      </c>
      <c r="D75" s="88" t="s">
        <v>263</v>
      </c>
      <c r="E75" s="88">
        <v>92637</v>
      </c>
      <c r="F75" s="88" t="s">
        <v>114</v>
      </c>
      <c r="G75" s="88" t="s">
        <v>1861</v>
      </c>
      <c r="H75" s="88" t="s">
        <v>1789</v>
      </c>
      <c r="I75" s="88" t="s">
        <v>1031</v>
      </c>
      <c r="J75" s="156" t="s">
        <v>1731</v>
      </c>
      <c r="L75" s="88" t="s">
        <v>133</v>
      </c>
      <c r="M75" s="88" t="s">
        <v>148</v>
      </c>
      <c r="N75" s="88" t="s">
        <v>156</v>
      </c>
      <c r="O75" s="88" t="s">
        <v>162</v>
      </c>
      <c r="P75" s="88" t="s">
        <v>176</v>
      </c>
      <c r="Q75" s="88" t="s">
        <v>180</v>
      </c>
    </row>
    <row r="76" spans="1:17" x14ac:dyDescent="0.25">
      <c r="A76" s="88" t="s">
        <v>1035</v>
      </c>
      <c r="B76" s="88" t="s">
        <v>110</v>
      </c>
      <c r="C76" s="88" t="s">
        <v>1036</v>
      </c>
      <c r="D76" s="88" t="s">
        <v>1037</v>
      </c>
      <c r="E76" s="88">
        <v>92712</v>
      </c>
      <c r="F76" s="88" t="s">
        <v>114</v>
      </c>
      <c r="G76" s="88" t="s">
        <v>1862</v>
      </c>
      <c r="H76" s="88" t="s">
        <v>1790</v>
      </c>
      <c r="I76" s="88" t="s">
        <v>1040</v>
      </c>
      <c r="J76" s="156" t="s">
        <v>1730</v>
      </c>
      <c r="K76" s="88" t="s">
        <v>118</v>
      </c>
      <c r="L76" s="88" t="s">
        <v>128</v>
      </c>
      <c r="M76" s="88" t="s">
        <v>154</v>
      </c>
      <c r="N76" s="88" t="s">
        <v>158</v>
      </c>
      <c r="O76" s="88" t="s">
        <v>161</v>
      </c>
      <c r="P76" s="88" t="s">
        <v>178</v>
      </c>
      <c r="Q76" s="88" t="s">
        <v>185</v>
      </c>
    </row>
    <row r="77" spans="1:17" x14ac:dyDescent="0.25">
      <c r="A77" s="88" t="s">
        <v>1044</v>
      </c>
      <c r="B77" s="88" t="s">
        <v>109</v>
      </c>
      <c r="C77" s="88" t="s">
        <v>1045</v>
      </c>
      <c r="D77" s="88" t="s">
        <v>361</v>
      </c>
      <c r="E77" s="88">
        <v>92693</v>
      </c>
      <c r="F77" s="88" t="s">
        <v>114</v>
      </c>
      <c r="G77" s="88" t="s">
        <v>1863</v>
      </c>
      <c r="H77" s="88" t="s">
        <v>1791</v>
      </c>
      <c r="I77" s="88" t="s">
        <v>1048</v>
      </c>
      <c r="J77" s="155" t="s">
        <v>1049</v>
      </c>
      <c r="K77" s="88" t="s">
        <v>118</v>
      </c>
      <c r="L77" s="88" t="s">
        <v>128</v>
      </c>
      <c r="M77" s="88" t="s">
        <v>148</v>
      </c>
      <c r="N77" s="88" t="s">
        <v>156</v>
      </c>
      <c r="O77" s="88" t="s">
        <v>161</v>
      </c>
      <c r="P77" s="88" t="s">
        <v>177</v>
      </c>
      <c r="Q77" s="88" t="s">
        <v>181</v>
      </c>
    </row>
    <row r="78" spans="1:17" x14ac:dyDescent="0.25">
      <c r="A78" s="88" t="s">
        <v>1052</v>
      </c>
      <c r="B78" s="88" t="s">
        <v>111</v>
      </c>
      <c r="C78" s="88" t="s">
        <v>1053</v>
      </c>
      <c r="D78" s="88" t="s">
        <v>263</v>
      </c>
      <c r="E78" s="88">
        <v>92637</v>
      </c>
      <c r="F78" s="88" t="s">
        <v>114</v>
      </c>
      <c r="G78" s="88" t="s">
        <v>1864</v>
      </c>
      <c r="H78" s="88" t="s">
        <v>1792</v>
      </c>
      <c r="I78" s="88" t="s">
        <v>1056</v>
      </c>
      <c r="J78" s="155" t="s">
        <v>1057</v>
      </c>
      <c r="K78" s="88" t="s">
        <v>121</v>
      </c>
      <c r="L78" s="88" t="s">
        <v>132</v>
      </c>
      <c r="N78" s="88" t="s">
        <v>158</v>
      </c>
      <c r="O78" s="88" t="s">
        <v>162</v>
      </c>
      <c r="P78" s="88" t="s">
        <v>177</v>
      </c>
      <c r="Q78" s="88" t="s">
        <v>183</v>
      </c>
    </row>
    <row r="79" spans="1:17" x14ac:dyDescent="0.25">
      <c r="A79" s="88" t="s">
        <v>1064</v>
      </c>
      <c r="B79" s="88" t="s">
        <v>106</v>
      </c>
      <c r="C79" s="88" t="s">
        <v>1065</v>
      </c>
      <c r="D79" s="88" t="s">
        <v>361</v>
      </c>
      <c r="E79" s="88">
        <v>92693</v>
      </c>
      <c r="F79" s="88" t="s">
        <v>114</v>
      </c>
      <c r="G79" s="88" t="s">
        <v>1865</v>
      </c>
      <c r="H79" s="88" t="s">
        <v>1793</v>
      </c>
      <c r="I79" s="88" t="s">
        <v>1067</v>
      </c>
      <c r="J79" s="155"/>
      <c r="K79" s="88" t="s">
        <v>120</v>
      </c>
      <c r="L79" s="88" t="s">
        <v>137</v>
      </c>
      <c r="M79" s="88" t="s">
        <v>149</v>
      </c>
      <c r="N79" s="88" t="s">
        <v>156</v>
      </c>
      <c r="O79" s="88" t="s">
        <v>163</v>
      </c>
      <c r="P79" s="88" t="s">
        <v>176</v>
      </c>
      <c r="Q79" s="88" t="s">
        <v>180</v>
      </c>
    </row>
    <row r="80" spans="1:17" x14ac:dyDescent="0.25">
      <c r="A80" s="88" t="s">
        <v>1070</v>
      </c>
      <c r="B80" s="88" t="s">
        <v>109</v>
      </c>
      <c r="C80" s="88" t="s">
        <v>1071</v>
      </c>
      <c r="D80" s="88" t="s">
        <v>547</v>
      </c>
      <c r="E80" s="88">
        <v>92442</v>
      </c>
      <c r="F80" s="88" t="s">
        <v>114</v>
      </c>
      <c r="G80" s="88" t="s">
        <v>1866</v>
      </c>
      <c r="H80" s="88" t="s">
        <v>1794</v>
      </c>
      <c r="I80" s="88" t="s">
        <v>1074</v>
      </c>
      <c r="J80" s="155" t="s">
        <v>1075</v>
      </c>
      <c r="K80" s="88" t="s">
        <v>117</v>
      </c>
      <c r="M80" s="88" t="s">
        <v>148</v>
      </c>
      <c r="N80" s="88" t="s">
        <v>158</v>
      </c>
      <c r="O80" s="88" t="s">
        <v>161</v>
      </c>
      <c r="P80" s="88" t="s">
        <v>177</v>
      </c>
      <c r="Q80" s="88" t="s">
        <v>183</v>
      </c>
    </row>
    <row r="81" spans="1:17" x14ac:dyDescent="0.25">
      <c r="A81" s="88" t="s">
        <v>1082</v>
      </c>
      <c r="B81" s="88" t="s">
        <v>109</v>
      </c>
      <c r="C81" s="88" t="s">
        <v>1083</v>
      </c>
      <c r="D81" s="88" t="s">
        <v>361</v>
      </c>
      <c r="E81" s="88">
        <v>92693</v>
      </c>
      <c r="F81" s="88" t="s">
        <v>114</v>
      </c>
      <c r="G81" s="88" t="s">
        <v>1867</v>
      </c>
      <c r="H81" s="88" t="s">
        <v>1795</v>
      </c>
      <c r="I81" s="88" t="s">
        <v>1086</v>
      </c>
      <c r="J81" s="155" t="s">
        <v>1087</v>
      </c>
      <c r="K81" s="88" t="s">
        <v>117</v>
      </c>
      <c r="M81" s="88" t="s">
        <v>149</v>
      </c>
      <c r="N81" s="88" t="s">
        <v>157</v>
      </c>
      <c r="O81" s="88" t="s">
        <v>161</v>
      </c>
      <c r="P81" s="88" t="s">
        <v>177</v>
      </c>
      <c r="Q81" s="88" t="s">
        <v>183</v>
      </c>
    </row>
    <row r="82" spans="1:17" x14ac:dyDescent="0.25">
      <c r="A82" s="88" t="s">
        <v>1095</v>
      </c>
      <c r="B82" s="88" t="s">
        <v>109</v>
      </c>
      <c r="C82" s="88" t="s">
        <v>1096</v>
      </c>
      <c r="D82" s="88" t="s">
        <v>1097</v>
      </c>
      <c r="E82" s="88">
        <v>92552</v>
      </c>
      <c r="F82" s="88" t="s">
        <v>114</v>
      </c>
      <c r="G82" s="88" t="s">
        <v>1868</v>
      </c>
      <c r="H82" s="88" t="s">
        <v>1796</v>
      </c>
      <c r="I82" s="88" t="s">
        <v>1100</v>
      </c>
      <c r="J82" s="155" t="s">
        <v>1101</v>
      </c>
      <c r="K82" s="88" t="s">
        <v>124</v>
      </c>
      <c r="L82" s="88" t="s">
        <v>138</v>
      </c>
      <c r="M82" s="88" t="s">
        <v>148</v>
      </c>
      <c r="N82" s="88" t="s">
        <v>157</v>
      </c>
      <c r="O82" s="88" t="s">
        <v>1251</v>
      </c>
      <c r="P82" s="88" t="s">
        <v>177</v>
      </c>
      <c r="Q82" s="88" t="s">
        <v>184</v>
      </c>
    </row>
    <row r="83" spans="1:17" x14ac:dyDescent="0.25">
      <c r="A83" s="88" t="s">
        <v>1108</v>
      </c>
      <c r="B83" s="88" t="s">
        <v>110</v>
      </c>
      <c r="C83" s="88" t="s">
        <v>1109</v>
      </c>
      <c r="D83" s="88" t="s">
        <v>547</v>
      </c>
      <c r="E83" s="88">
        <v>92442</v>
      </c>
      <c r="F83" s="88" t="s">
        <v>114</v>
      </c>
      <c r="G83" s="88" t="s">
        <v>1869</v>
      </c>
      <c r="H83" s="88" t="s">
        <v>1797</v>
      </c>
      <c r="I83" s="88" t="s">
        <v>1112</v>
      </c>
      <c r="J83" s="155" t="s">
        <v>1113</v>
      </c>
      <c r="K83" s="88" t="s">
        <v>118</v>
      </c>
      <c r="L83" s="88" t="s">
        <v>128</v>
      </c>
      <c r="M83" s="88" t="s">
        <v>148</v>
      </c>
      <c r="N83" s="88" t="s">
        <v>156</v>
      </c>
      <c r="O83" s="88" t="s">
        <v>161</v>
      </c>
      <c r="P83" s="88" t="s">
        <v>177</v>
      </c>
      <c r="Q83" s="88" t="s">
        <v>182</v>
      </c>
    </row>
    <row r="84" spans="1:17" x14ac:dyDescent="0.25">
      <c r="A84" s="88" t="s">
        <v>1118</v>
      </c>
      <c r="B84" s="88" t="s">
        <v>110</v>
      </c>
      <c r="C84" s="88" t="s">
        <v>1119</v>
      </c>
      <c r="D84" s="88" t="s">
        <v>263</v>
      </c>
      <c r="E84" s="88">
        <v>92637</v>
      </c>
      <c r="F84" s="88" t="s">
        <v>114</v>
      </c>
      <c r="G84" s="88" t="s">
        <v>1870</v>
      </c>
      <c r="H84" s="88" t="s">
        <v>1798</v>
      </c>
      <c r="I84" s="88" t="s">
        <v>1122</v>
      </c>
      <c r="J84" s="155" t="s">
        <v>1123</v>
      </c>
      <c r="K84" s="88" t="s">
        <v>119</v>
      </c>
      <c r="M84" s="88" t="s">
        <v>148</v>
      </c>
      <c r="N84" s="88" t="s">
        <v>157</v>
      </c>
      <c r="O84" s="88" t="s">
        <v>165</v>
      </c>
      <c r="P84" s="88" t="s">
        <v>177</v>
      </c>
      <c r="Q84" s="88" t="s">
        <v>184</v>
      </c>
    </row>
    <row r="85" spans="1:17" x14ac:dyDescent="0.25">
      <c r="A85" s="88" t="s">
        <v>1158</v>
      </c>
      <c r="B85" s="88" t="s">
        <v>110</v>
      </c>
      <c r="C85" s="88" t="s">
        <v>1159</v>
      </c>
      <c r="D85" s="88" t="s">
        <v>263</v>
      </c>
      <c r="E85" s="88">
        <v>92637</v>
      </c>
      <c r="F85" s="88" t="s">
        <v>114</v>
      </c>
      <c r="G85" s="88" t="s">
        <v>1160</v>
      </c>
      <c r="H85" s="88" t="s">
        <v>1799</v>
      </c>
      <c r="I85" s="88" t="s">
        <v>1162</v>
      </c>
      <c r="J85" s="155" t="s">
        <v>1163</v>
      </c>
      <c r="K85" s="88" t="s">
        <v>119</v>
      </c>
      <c r="M85" s="88" t="s">
        <v>151</v>
      </c>
      <c r="N85" s="88" t="s">
        <v>157</v>
      </c>
      <c r="O85" s="88" t="s">
        <v>162</v>
      </c>
      <c r="P85" s="88" t="s">
        <v>178</v>
      </c>
      <c r="Q85" s="88" t="s">
        <v>186</v>
      </c>
    </row>
    <row r="86" spans="1:17" x14ac:dyDescent="0.25">
      <c r="A86" s="88" t="s">
        <v>1167</v>
      </c>
      <c r="B86" s="88" t="s">
        <v>110</v>
      </c>
      <c r="C86" s="88" t="s">
        <v>1168</v>
      </c>
      <c r="D86" s="88" t="s">
        <v>263</v>
      </c>
      <c r="E86" s="88">
        <v>92637</v>
      </c>
      <c r="F86" s="88" t="s">
        <v>114</v>
      </c>
      <c r="G86" s="88" t="s">
        <v>1871</v>
      </c>
      <c r="H86" s="88" t="s">
        <v>1800</v>
      </c>
      <c r="J86" s="155" t="s">
        <v>1171</v>
      </c>
      <c r="K86" s="88" t="s">
        <v>119</v>
      </c>
      <c r="M86" s="88" t="s">
        <v>148</v>
      </c>
      <c r="N86" s="88" t="s">
        <v>159</v>
      </c>
      <c r="O86" s="88" t="s">
        <v>162</v>
      </c>
      <c r="P86" s="88" t="s">
        <v>177</v>
      </c>
      <c r="Q86" s="88" t="s">
        <v>181</v>
      </c>
    </row>
    <row r="87" spans="1:17" x14ac:dyDescent="0.25">
      <c r="A87" s="88" t="s">
        <v>1176</v>
      </c>
      <c r="B87" s="88" t="s">
        <v>110</v>
      </c>
      <c r="C87" s="88" t="s">
        <v>1177</v>
      </c>
      <c r="D87" s="88" t="s">
        <v>496</v>
      </c>
      <c r="E87" s="88">
        <v>92507</v>
      </c>
      <c r="F87" s="88" t="s">
        <v>114</v>
      </c>
      <c r="G87" s="88" t="s">
        <v>1872</v>
      </c>
      <c r="H87" s="88" t="s">
        <v>1801</v>
      </c>
      <c r="J87" s="155"/>
      <c r="K87" s="88" t="s">
        <v>118</v>
      </c>
      <c r="L87" s="88" t="s">
        <v>128</v>
      </c>
      <c r="O87" s="88" t="s">
        <v>161</v>
      </c>
      <c r="P87" s="88" t="s">
        <v>177</v>
      </c>
      <c r="Q87" s="88" t="s">
        <v>184</v>
      </c>
    </row>
    <row r="88" spans="1:17" x14ac:dyDescent="0.25">
      <c r="A88" s="88" t="s">
        <v>1181</v>
      </c>
      <c r="B88" s="88" t="s">
        <v>110</v>
      </c>
      <c r="C88" s="88" t="s">
        <v>1182</v>
      </c>
      <c r="D88" s="88" t="s">
        <v>547</v>
      </c>
      <c r="E88" s="88">
        <v>92442</v>
      </c>
      <c r="F88" s="88" t="s">
        <v>114</v>
      </c>
      <c r="G88" s="88" t="s">
        <v>1873</v>
      </c>
      <c r="H88" s="88" t="s">
        <v>1802</v>
      </c>
      <c r="J88" s="155" t="s">
        <v>1185</v>
      </c>
      <c r="K88" s="88" t="s">
        <v>118</v>
      </c>
      <c r="L88" s="88" t="s">
        <v>624</v>
      </c>
      <c r="M88" s="88" t="s">
        <v>148</v>
      </c>
      <c r="N88" s="88" t="s">
        <v>158</v>
      </c>
      <c r="O88" s="88" t="s">
        <v>161</v>
      </c>
      <c r="P88" s="88" t="s">
        <v>177</v>
      </c>
      <c r="Q88" s="88" t="s">
        <v>183</v>
      </c>
    </row>
    <row r="89" spans="1:17" x14ac:dyDescent="0.25">
      <c r="A89" s="88" t="s">
        <v>1189</v>
      </c>
      <c r="B89" s="88" t="s">
        <v>109</v>
      </c>
      <c r="C89" s="88" t="s">
        <v>1190</v>
      </c>
      <c r="D89" s="88" t="s">
        <v>1191</v>
      </c>
      <c r="E89" s="88">
        <v>92245</v>
      </c>
      <c r="F89" s="88" t="s">
        <v>114</v>
      </c>
      <c r="G89" s="88" t="s">
        <v>1874</v>
      </c>
      <c r="H89" s="88" t="s">
        <v>1803</v>
      </c>
      <c r="I89" s="88" t="s">
        <v>1194</v>
      </c>
      <c r="J89" s="155" t="s">
        <v>1195</v>
      </c>
      <c r="K89" s="88" t="s">
        <v>119</v>
      </c>
      <c r="L89" s="88" t="s">
        <v>137</v>
      </c>
      <c r="M89" s="88" t="s">
        <v>148</v>
      </c>
      <c r="N89" s="88" t="s">
        <v>156</v>
      </c>
      <c r="O89" s="88" t="s">
        <v>168</v>
      </c>
      <c r="P89" s="88" t="s">
        <v>176</v>
      </c>
      <c r="Q89" s="88" t="s">
        <v>181</v>
      </c>
    </row>
    <row r="90" spans="1:17" x14ac:dyDescent="0.25">
      <c r="A90" s="88" t="s">
        <v>1198</v>
      </c>
      <c r="B90" s="88" t="s">
        <v>110</v>
      </c>
      <c r="C90" s="88" t="s">
        <v>1199</v>
      </c>
      <c r="D90" s="88" t="s">
        <v>485</v>
      </c>
      <c r="E90" s="88">
        <v>92431</v>
      </c>
      <c r="F90" s="88" t="s">
        <v>114</v>
      </c>
      <c r="G90" s="88" t="s">
        <v>1875</v>
      </c>
      <c r="H90" s="88" t="s">
        <v>1804</v>
      </c>
      <c r="J90" s="155" t="s">
        <v>1202</v>
      </c>
      <c r="K90" s="88" t="s">
        <v>118</v>
      </c>
      <c r="L90" s="88" t="s">
        <v>132</v>
      </c>
      <c r="M90" s="88" t="s">
        <v>148</v>
      </c>
      <c r="O90" s="88" t="s">
        <v>161</v>
      </c>
      <c r="P90" s="88" t="s">
        <v>258</v>
      </c>
      <c r="Q90" s="88" t="s">
        <v>184</v>
      </c>
    </row>
    <row r="91" spans="1:17" x14ac:dyDescent="0.25">
      <c r="A91" s="88" t="s">
        <v>1206</v>
      </c>
      <c r="B91" s="88" t="s">
        <v>109</v>
      </c>
      <c r="C91" s="88" t="s">
        <v>1207</v>
      </c>
      <c r="D91" s="88" t="s">
        <v>1208</v>
      </c>
      <c r="E91" s="88">
        <v>92436</v>
      </c>
      <c r="F91" s="88" t="s">
        <v>114</v>
      </c>
      <c r="G91" s="88" t="s">
        <v>1876</v>
      </c>
      <c r="H91" s="88" t="s">
        <v>1805</v>
      </c>
      <c r="I91" s="88" t="s">
        <v>1211</v>
      </c>
      <c r="J91" s="155" t="s">
        <v>1212</v>
      </c>
      <c r="K91" s="88" t="s">
        <v>118</v>
      </c>
      <c r="L91" s="88" t="s">
        <v>128</v>
      </c>
      <c r="M91" s="88" t="s">
        <v>148</v>
      </c>
      <c r="N91" s="88" t="s">
        <v>158</v>
      </c>
      <c r="O91" s="88" t="s">
        <v>161</v>
      </c>
      <c r="P91" s="88" t="s">
        <v>177</v>
      </c>
      <c r="Q91" s="88" t="s">
        <v>183</v>
      </c>
    </row>
    <row r="92" spans="1:17" x14ac:dyDescent="0.25">
      <c r="A92" s="88" t="s">
        <v>1219</v>
      </c>
      <c r="B92" s="88" t="s">
        <v>110</v>
      </c>
      <c r="C92" s="88" t="s">
        <v>1220</v>
      </c>
      <c r="D92" s="88" t="s">
        <v>263</v>
      </c>
      <c r="E92" s="88">
        <v>92637</v>
      </c>
      <c r="F92" s="88" t="s">
        <v>114</v>
      </c>
      <c r="G92" s="88" t="s">
        <v>1877</v>
      </c>
      <c r="H92" s="88" t="s">
        <v>1806</v>
      </c>
      <c r="J92" s="155" t="s">
        <v>1223</v>
      </c>
      <c r="K92" s="88" t="s">
        <v>121</v>
      </c>
      <c r="L92" s="88" t="s">
        <v>132</v>
      </c>
      <c r="M92" s="88" t="s">
        <v>149</v>
      </c>
      <c r="N92" s="88" t="s">
        <v>157</v>
      </c>
      <c r="P92" s="88" t="s">
        <v>258</v>
      </c>
      <c r="Q92" s="88" t="s">
        <v>258</v>
      </c>
    </row>
    <row r="93" spans="1:17" x14ac:dyDescent="0.25">
      <c r="A93" s="88" t="s">
        <v>1227</v>
      </c>
      <c r="B93" s="88" t="s">
        <v>111</v>
      </c>
      <c r="C93" s="88" t="s">
        <v>1228</v>
      </c>
      <c r="D93" s="88" t="s">
        <v>1229</v>
      </c>
      <c r="E93" s="88">
        <v>95643</v>
      </c>
      <c r="F93" s="88" t="s">
        <v>114</v>
      </c>
      <c r="G93" s="88" t="s">
        <v>1878</v>
      </c>
      <c r="H93" s="88" t="s">
        <v>1807</v>
      </c>
      <c r="I93" s="88" t="s">
        <v>1232</v>
      </c>
      <c r="J93" s="155" t="s">
        <v>1233</v>
      </c>
      <c r="K93" s="88" t="s">
        <v>118</v>
      </c>
      <c r="L93" s="88" t="s">
        <v>128</v>
      </c>
      <c r="M93" s="88" t="s">
        <v>150</v>
      </c>
      <c r="N93" s="88" t="s">
        <v>156</v>
      </c>
      <c r="O93" s="88" t="s">
        <v>161</v>
      </c>
      <c r="P93" s="88" t="s">
        <v>178</v>
      </c>
      <c r="Q93" s="88" t="s">
        <v>185</v>
      </c>
    </row>
    <row r="94" spans="1:17" x14ac:dyDescent="0.25">
      <c r="A94" s="88" t="s">
        <v>1238</v>
      </c>
      <c r="B94" s="88" t="s">
        <v>109</v>
      </c>
      <c r="C94" s="88" t="s">
        <v>1239</v>
      </c>
      <c r="D94" s="88" t="s">
        <v>485</v>
      </c>
      <c r="E94" s="88">
        <v>92431</v>
      </c>
      <c r="F94" s="88" t="s">
        <v>114</v>
      </c>
      <c r="G94" s="88" t="s">
        <v>1879</v>
      </c>
      <c r="I94" s="88" t="s">
        <v>1241</v>
      </c>
      <c r="J94" s="155" t="s">
        <v>1242</v>
      </c>
      <c r="K94" s="88" t="s">
        <v>118</v>
      </c>
      <c r="L94" s="88" t="s">
        <v>129</v>
      </c>
      <c r="M94" s="88" t="s">
        <v>148</v>
      </c>
      <c r="N94" s="88" t="s">
        <v>159</v>
      </c>
      <c r="O94" s="88" t="s">
        <v>161</v>
      </c>
      <c r="P94" s="88" t="s">
        <v>177</v>
      </c>
      <c r="Q94" s="88" t="s">
        <v>183</v>
      </c>
    </row>
    <row r="95" spans="1:17" x14ac:dyDescent="0.25">
      <c r="A95" s="88" t="s">
        <v>1650</v>
      </c>
      <c r="B95" s="88" t="s">
        <v>109</v>
      </c>
      <c r="C95" s="88" t="s">
        <v>1651</v>
      </c>
      <c r="D95" s="88" t="s">
        <v>547</v>
      </c>
      <c r="E95" s="88">
        <v>93138</v>
      </c>
      <c r="F95" s="88" t="s">
        <v>114</v>
      </c>
      <c r="G95" s="88" t="s">
        <v>1880</v>
      </c>
      <c r="H95" s="88" t="s">
        <v>1808</v>
      </c>
      <c r="I95" s="88" t="s">
        <v>1654</v>
      </c>
      <c r="J95" s="155" t="s">
        <v>1655</v>
      </c>
      <c r="K95" s="88" t="s">
        <v>117</v>
      </c>
      <c r="L95" s="88" t="s">
        <v>1620</v>
      </c>
      <c r="M95" s="88" t="s">
        <v>150</v>
      </c>
      <c r="N95" s="88" t="s">
        <v>159</v>
      </c>
      <c r="O95" s="88" t="s">
        <v>161</v>
      </c>
      <c r="P95" s="88" t="s">
        <v>258</v>
      </c>
      <c r="Q95" s="88" t="s">
        <v>182</v>
      </c>
    </row>
    <row r="96" spans="1:17" x14ac:dyDescent="0.25">
      <c r="A96" s="88" t="s">
        <v>1724</v>
      </c>
      <c r="B96" s="88" t="s">
        <v>110</v>
      </c>
      <c r="C96" s="88" t="s">
        <v>1665</v>
      </c>
      <c r="D96" s="88" t="s">
        <v>561</v>
      </c>
      <c r="E96" s="88">
        <v>92237</v>
      </c>
      <c r="F96" s="88" t="s">
        <v>114</v>
      </c>
      <c r="G96" s="88" t="s">
        <v>1881</v>
      </c>
      <c r="H96" s="88" t="s">
        <v>1809</v>
      </c>
      <c r="I96" s="88" t="s">
        <v>1669</v>
      </c>
      <c r="J96" s="156" t="s">
        <v>1732</v>
      </c>
      <c r="K96" s="88" t="s">
        <v>119</v>
      </c>
      <c r="L96" s="88" t="s">
        <v>144</v>
      </c>
      <c r="M96" s="88" t="s">
        <v>150</v>
      </c>
      <c r="N96" s="88" t="s">
        <v>157</v>
      </c>
      <c r="O96" s="88" t="s">
        <v>165</v>
      </c>
      <c r="P96" s="88" t="s">
        <v>177</v>
      </c>
      <c r="Q96" s="88" t="s">
        <v>183</v>
      </c>
    </row>
    <row r="97" spans="1:17" x14ac:dyDescent="0.25">
      <c r="A97" s="88" t="s">
        <v>1675</v>
      </c>
      <c r="B97" s="88" t="s">
        <v>111</v>
      </c>
      <c r="C97" s="88" t="s">
        <v>1676</v>
      </c>
      <c r="D97" s="88" t="s">
        <v>547</v>
      </c>
      <c r="E97" s="88">
        <v>92442</v>
      </c>
      <c r="F97" s="88" t="s">
        <v>114</v>
      </c>
      <c r="J97" s="155" t="s">
        <v>1678</v>
      </c>
      <c r="K97" s="88" t="s">
        <v>118</v>
      </c>
      <c r="L97" s="88" t="s">
        <v>130</v>
      </c>
      <c r="M97" s="88" t="s">
        <v>154</v>
      </c>
      <c r="N97" s="88" t="s">
        <v>159</v>
      </c>
      <c r="O97" s="88" t="s">
        <v>161</v>
      </c>
      <c r="P97" s="88" t="s">
        <v>258</v>
      </c>
      <c r="Q97" s="88" t="s">
        <v>185</v>
      </c>
    </row>
    <row r="98" spans="1:17" x14ac:dyDescent="0.25">
      <c r="A98" s="88" t="s">
        <v>1680</v>
      </c>
      <c r="B98" s="88" t="s">
        <v>109</v>
      </c>
      <c r="C98" s="88" t="s">
        <v>1681</v>
      </c>
      <c r="D98" s="88" t="s">
        <v>576</v>
      </c>
      <c r="E98" s="88">
        <v>92536</v>
      </c>
      <c r="F98" s="88" t="s">
        <v>114</v>
      </c>
      <c r="G98" s="88" t="s">
        <v>1882</v>
      </c>
      <c r="I98" s="88" t="s">
        <v>1683</v>
      </c>
      <c r="J98" s="155" t="s">
        <v>1684</v>
      </c>
      <c r="K98" s="88" t="s">
        <v>118</v>
      </c>
      <c r="L98" s="88" t="s">
        <v>128</v>
      </c>
      <c r="M98" s="88" t="s">
        <v>149</v>
      </c>
      <c r="N98" s="88" t="s">
        <v>157</v>
      </c>
      <c r="O98" s="88" t="s">
        <v>161</v>
      </c>
      <c r="P98" s="88" t="s">
        <v>177</v>
      </c>
      <c r="Q98" s="88" t="s">
        <v>182</v>
      </c>
    </row>
  </sheetData>
  <autoFilter ref="A7:Q98"/>
  <hyperlinks>
    <hyperlink ref="J36" r:id="rId1"/>
    <hyperlink ref="J26" r:id="rId2"/>
    <hyperlink ref="J19" r:id="rId3"/>
    <hyperlink ref="J17" r:id="rId4"/>
    <hyperlink ref="J28" r:id="rId5"/>
    <hyperlink ref="J76" r:id="rId6"/>
    <hyperlink ref="J75" r:id="rId7"/>
    <hyperlink ref="J96" r:id="rId8"/>
  </hyperlinks>
  <pageMargins left="0.7" right="0.7" top="0.78740157499999996" bottom="0.78740157499999996" header="0.3" footer="0.3"/>
  <pageSetup paperSize="9" orientation="portrait" horizontalDpi="300" verticalDpi="300"/>
  <drawing r:id="rId9"/>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488"/>
  <sheetViews>
    <sheetView showRowColHeaders="0" zoomScale="80" zoomScaleNormal="80" zoomScalePageLayoutView="80" workbookViewId="0"/>
  </sheetViews>
  <sheetFormatPr baseColWidth="10" defaultRowHeight="15" x14ac:dyDescent="0.25"/>
  <cols>
    <col min="2" max="2" width="4.7109375" customWidth="1"/>
  </cols>
  <sheetData>
    <row r="1" spans="1:64" ht="20.100000000000001" customHeight="1" x14ac:dyDescent="0.25">
      <c r="A1" s="1"/>
      <c r="B1" s="1"/>
      <c r="C1" s="1"/>
      <c r="D1" s="1"/>
      <c r="E1" s="1"/>
      <c r="F1" s="1"/>
      <c r="G1" s="1"/>
      <c r="H1" s="1"/>
      <c r="I1" s="1"/>
      <c r="J1" s="1"/>
      <c r="K1" s="1"/>
      <c r="L1" s="1"/>
      <c r="M1" s="101"/>
      <c r="N1" s="101"/>
      <c r="O1" s="101"/>
      <c r="P1" s="1"/>
      <c r="Q1" s="1"/>
      <c r="R1" s="1"/>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row>
    <row r="2" spans="1:64" x14ac:dyDescent="0.25">
      <c r="A2" s="1"/>
      <c r="B2" s="1"/>
      <c r="C2" s="1"/>
      <c r="D2" s="1"/>
      <c r="E2" s="1"/>
      <c r="F2" s="1"/>
      <c r="G2" s="1"/>
      <c r="H2" s="1"/>
      <c r="I2" s="1"/>
      <c r="J2" s="1"/>
      <c r="K2" s="1"/>
      <c r="L2" s="1"/>
      <c r="M2" s="101"/>
      <c r="N2" s="101"/>
      <c r="O2" s="101"/>
      <c r="P2" s="1"/>
      <c r="Q2" s="1"/>
      <c r="R2" s="1"/>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row>
    <row r="3" spans="1:64" x14ac:dyDescent="0.25">
      <c r="A3" s="1"/>
      <c r="B3" s="92"/>
      <c r="C3" s="92"/>
      <c r="D3" s="92"/>
      <c r="E3" s="92"/>
      <c r="F3" s="92"/>
      <c r="G3" s="92"/>
      <c r="H3" s="92"/>
      <c r="I3" s="92"/>
      <c r="J3" s="92"/>
      <c r="K3" s="92"/>
      <c r="L3" s="92"/>
      <c r="M3" s="92"/>
      <c r="N3" s="92"/>
      <c r="O3" s="1"/>
      <c r="P3" s="1"/>
      <c r="Q3" s="1"/>
      <c r="R3" s="1"/>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x14ac:dyDescent="0.25">
      <c r="A4" s="1"/>
      <c r="B4" s="92"/>
      <c r="C4" s="92"/>
      <c r="D4" s="92"/>
      <c r="E4" s="92"/>
      <c r="F4" s="92"/>
      <c r="G4" s="92"/>
      <c r="H4" s="92"/>
      <c r="I4" s="92"/>
      <c r="J4" s="92"/>
      <c r="K4" s="92"/>
      <c r="L4" s="92"/>
      <c r="M4" s="92"/>
      <c r="N4" s="92"/>
      <c r="O4" s="1"/>
      <c r="P4" s="1"/>
      <c r="Q4" s="1"/>
      <c r="R4" s="1"/>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x14ac:dyDescent="0.25">
      <c r="A5" s="1"/>
      <c r="B5" s="92"/>
      <c r="C5" s="92"/>
      <c r="D5" s="92"/>
      <c r="E5" s="92"/>
      <c r="F5" s="92"/>
      <c r="G5" s="92"/>
      <c r="H5" s="92"/>
      <c r="I5" s="92"/>
      <c r="J5" s="92"/>
      <c r="K5" s="92"/>
      <c r="L5" s="92"/>
      <c r="M5" s="92"/>
      <c r="N5" s="92"/>
      <c r="O5" s="1"/>
      <c r="P5" s="1"/>
      <c r="Q5" s="1"/>
      <c r="R5" s="1"/>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row>
    <row r="6" spans="1:64" x14ac:dyDescent="0.25">
      <c r="A6" s="1"/>
      <c r="B6" s="92"/>
      <c r="C6" s="92"/>
      <c r="D6" s="92"/>
      <c r="E6" s="92"/>
      <c r="F6" s="92"/>
      <c r="G6" s="92"/>
      <c r="H6" s="92"/>
      <c r="I6" s="92"/>
      <c r="J6" s="92"/>
      <c r="K6" s="92"/>
      <c r="L6" s="92"/>
      <c r="M6" s="92"/>
      <c r="N6" s="92"/>
      <c r="O6" s="1"/>
      <c r="P6" s="1"/>
      <c r="Q6" s="1"/>
      <c r="R6" s="1"/>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row>
    <row r="7" spans="1:64" ht="48.75" customHeight="1" x14ac:dyDescent="0.25">
      <c r="A7" s="1"/>
      <c r="B7" s="92"/>
      <c r="C7" s="166" t="s">
        <v>223</v>
      </c>
      <c r="D7" s="166"/>
      <c r="E7" s="166"/>
      <c r="F7" s="166"/>
      <c r="G7" s="166"/>
      <c r="H7" s="166"/>
      <c r="I7" s="166"/>
      <c r="J7" s="166"/>
      <c r="K7" s="166"/>
      <c r="L7" s="166"/>
      <c r="M7" s="166"/>
      <c r="N7" s="92"/>
      <c r="O7" s="1"/>
      <c r="P7" s="1"/>
      <c r="Q7" s="1"/>
      <c r="R7" s="1"/>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row>
    <row r="8" spans="1:64" x14ac:dyDescent="0.25">
      <c r="A8" s="1"/>
      <c r="B8" s="92"/>
      <c r="C8" s="92"/>
      <c r="D8" s="92"/>
      <c r="E8" s="92"/>
      <c r="F8" s="92"/>
      <c r="G8" s="92"/>
      <c r="H8" s="92"/>
      <c r="I8" s="92"/>
      <c r="J8" s="92"/>
      <c r="K8" s="92"/>
      <c r="L8" s="92"/>
      <c r="M8" s="92"/>
      <c r="N8" s="92"/>
      <c r="O8" s="1"/>
      <c r="P8" s="1"/>
      <c r="Q8" s="1"/>
      <c r="R8" s="1"/>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row>
    <row r="9" spans="1:64" x14ac:dyDescent="0.25">
      <c r="A9" s="1"/>
      <c r="B9" s="92"/>
      <c r="C9" s="92"/>
      <c r="D9" s="92"/>
      <c r="E9" s="92"/>
      <c r="F9" s="92"/>
      <c r="G9" s="92"/>
      <c r="H9" s="92"/>
      <c r="I9" s="92"/>
      <c r="J9" s="92"/>
      <c r="K9" s="92"/>
      <c r="L9" s="92"/>
      <c r="M9" s="92"/>
      <c r="N9" s="92"/>
      <c r="O9" s="1"/>
      <c r="P9" s="1"/>
      <c r="Q9" s="1"/>
      <c r="R9" s="1"/>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row>
    <row r="10" spans="1:64" x14ac:dyDescent="0.25">
      <c r="A10" s="1"/>
      <c r="B10" s="92"/>
      <c r="C10" s="92"/>
      <c r="D10" s="92"/>
      <c r="E10" s="92"/>
      <c r="F10" s="92"/>
      <c r="G10" s="92"/>
      <c r="H10" s="92"/>
      <c r="I10" s="92"/>
      <c r="J10" s="92"/>
      <c r="K10" s="92"/>
      <c r="L10" s="92"/>
      <c r="M10" s="92"/>
      <c r="N10" s="92"/>
      <c r="O10" s="1"/>
      <c r="P10" s="1"/>
      <c r="Q10" s="1"/>
      <c r="R10" s="1"/>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row>
    <row r="11" spans="1:64" x14ac:dyDescent="0.25">
      <c r="A11" s="1"/>
      <c r="B11" s="92"/>
      <c r="C11" s="92"/>
      <c r="D11" s="92"/>
      <c r="E11" s="92"/>
      <c r="F11" s="92"/>
      <c r="G11" s="92"/>
      <c r="H11" s="92"/>
      <c r="I11" s="92"/>
      <c r="J11" s="92"/>
      <c r="K11" s="92"/>
      <c r="L11" s="92"/>
      <c r="M11" s="92"/>
      <c r="N11" s="92"/>
      <c r="O11" s="1"/>
      <c r="P11" s="1"/>
      <c r="Q11" s="1"/>
      <c r="R11" s="1"/>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row>
    <row r="12" spans="1:64" x14ac:dyDescent="0.25">
      <c r="A12" s="1"/>
      <c r="B12" s="92"/>
      <c r="C12" s="92"/>
      <c r="D12" s="92"/>
      <c r="E12" s="92"/>
      <c r="F12" s="92"/>
      <c r="G12" s="92"/>
      <c r="H12" s="92"/>
      <c r="I12" s="92"/>
      <c r="J12" s="92"/>
      <c r="K12" s="92"/>
      <c r="L12" s="92"/>
      <c r="M12" s="92"/>
      <c r="N12" s="92"/>
      <c r="O12" s="1"/>
      <c r="P12" s="1"/>
      <c r="Q12" s="1"/>
      <c r="R12" s="1"/>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row>
    <row r="13" spans="1:64" x14ac:dyDescent="0.25">
      <c r="A13" s="1"/>
      <c r="B13" s="92"/>
      <c r="C13" s="92"/>
      <c r="D13" s="92"/>
      <c r="E13" s="92"/>
      <c r="F13" s="92"/>
      <c r="G13" s="92"/>
      <c r="H13" s="92"/>
      <c r="I13" s="92"/>
      <c r="J13" s="92"/>
      <c r="K13" s="92"/>
      <c r="L13" s="92"/>
      <c r="M13" s="92"/>
      <c r="N13" s="92"/>
      <c r="O13" s="1"/>
      <c r="P13" s="1"/>
      <c r="Q13" s="1"/>
      <c r="R13" s="1"/>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row>
    <row r="14" spans="1:64" x14ac:dyDescent="0.25">
      <c r="A14" s="1"/>
      <c r="B14" s="92"/>
      <c r="C14" s="92"/>
      <c r="D14" s="92"/>
      <c r="E14" s="92"/>
      <c r="F14" s="92"/>
      <c r="G14" s="92"/>
      <c r="H14" s="92"/>
      <c r="I14" s="92"/>
      <c r="J14" s="92"/>
      <c r="K14" s="92"/>
      <c r="L14" s="92"/>
      <c r="M14" s="92"/>
      <c r="N14" s="92"/>
      <c r="O14" s="1"/>
      <c r="P14" s="1"/>
      <c r="Q14" s="1"/>
      <c r="R14" s="1"/>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row>
    <row r="15" spans="1:64" x14ac:dyDescent="0.25">
      <c r="A15" s="1"/>
      <c r="B15" s="92"/>
      <c r="C15" s="92"/>
      <c r="D15" s="92"/>
      <c r="E15" s="92"/>
      <c r="F15" s="92"/>
      <c r="G15" s="92"/>
      <c r="H15" s="92"/>
      <c r="I15" s="92"/>
      <c r="J15" s="92"/>
      <c r="K15" s="92"/>
      <c r="L15" s="92"/>
      <c r="M15" s="92"/>
      <c r="N15" s="92"/>
      <c r="O15" s="1"/>
      <c r="P15" s="1"/>
      <c r="Q15" s="1"/>
      <c r="R15" s="1"/>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row>
    <row r="16" spans="1:64" x14ac:dyDescent="0.25">
      <c r="A16" s="1"/>
      <c r="B16" s="92"/>
      <c r="C16" s="92"/>
      <c r="D16" s="92"/>
      <c r="E16" s="92"/>
      <c r="F16" s="92"/>
      <c r="G16" s="92"/>
      <c r="H16" s="92"/>
      <c r="I16" s="92"/>
      <c r="J16" s="92"/>
      <c r="K16" s="92"/>
      <c r="L16" s="92"/>
      <c r="M16" s="92"/>
      <c r="N16" s="92"/>
      <c r="O16" s="1"/>
      <c r="P16" s="1"/>
      <c r="Q16" s="1"/>
      <c r="R16" s="1"/>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row>
    <row r="17" spans="1:64" x14ac:dyDescent="0.25">
      <c r="A17" s="1"/>
      <c r="B17" s="92"/>
      <c r="C17" s="92"/>
      <c r="D17" s="92"/>
      <c r="E17" s="92"/>
      <c r="F17" s="92"/>
      <c r="G17" s="92"/>
      <c r="H17" s="92"/>
      <c r="I17" s="92"/>
      <c r="J17" s="92"/>
      <c r="K17" s="92"/>
      <c r="L17" s="92"/>
      <c r="M17" s="92"/>
      <c r="N17" s="92"/>
      <c r="O17" s="1"/>
      <c r="P17" s="1"/>
      <c r="Q17" s="1"/>
      <c r="R17" s="1"/>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row>
    <row r="18" spans="1:64" x14ac:dyDescent="0.25">
      <c r="A18" s="1"/>
      <c r="B18" s="92"/>
      <c r="C18" s="92"/>
      <c r="D18" s="92"/>
      <c r="E18" s="92"/>
      <c r="F18" s="92"/>
      <c r="G18" s="92"/>
      <c r="H18" s="92"/>
      <c r="I18" s="92"/>
      <c r="J18" s="92"/>
      <c r="K18" s="92"/>
      <c r="L18" s="92"/>
      <c r="M18" s="92"/>
      <c r="N18" s="92"/>
      <c r="O18" s="1"/>
      <c r="P18" s="1"/>
      <c r="Q18" s="1"/>
      <c r="R18" s="1"/>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row>
    <row r="19" spans="1:64" x14ac:dyDescent="0.25">
      <c r="A19" s="1"/>
      <c r="B19" s="92"/>
      <c r="C19" s="92"/>
      <c r="D19" s="92"/>
      <c r="E19" s="92"/>
      <c r="F19" s="92"/>
      <c r="G19" s="92"/>
      <c r="H19" s="92"/>
      <c r="I19" s="92"/>
      <c r="J19" s="92"/>
      <c r="K19" s="92"/>
      <c r="L19" s="92"/>
      <c r="M19" s="92"/>
      <c r="N19" s="92"/>
      <c r="O19" s="1"/>
      <c r="P19" s="1"/>
      <c r="Q19" s="1"/>
      <c r="R19" s="1"/>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row>
    <row r="20" spans="1:64" x14ac:dyDescent="0.25">
      <c r="A20" s="1"/>
      <c r="B20" s="92"/>
      <c r="C20" s="92"/>
      <c r="D20" s="92"/>
      <c r="E20" s="92"/>
      <c r="F20" s="92"/>
      <c r="G20" s="92"/>
      <c r="H20" s="92"/>
      <c r="I20" s="92"/>
      <c r="J20" s="92"/>
      <c r="K20" s="92"/>
      <c r="L20" s="92"/>
      <c r="M20" s="92"/>
      <c r="N20" s="92"/>
      <c r="O20" s="1"/>
      <c r="P20" s="1"/>
      <c r="Q20" s="1"/>
      <c r="R20" s="1"/>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row>
    <row r="21" spans="1:64" x14ac:dyDescent="0.25">
      <c r="A21" s="1"/>
      <c r="B21" s="92"/>
      <c r="C21" s="92"/>
      <c r="D21" s="92"/>
      <c r="E21" s="92"/>
      <c r="F21" s="92"/>
      <c r="G21" s="92"/>
      <c r="H21" s="92"/>
      <c r="I21" s="92"/>
      <c r="J21" s="92"/>
      <c r="K21" s="92"/>
      <c r="L21" s="92"/>
      <c r="M21" s="92"/>
      <c r="N21" s="92"/>
      <c r="O21" s="1"/>
      <c r="P21" s="1"/>
      <c r="Q21" s="1"/>
      <c r="R21" s="1"/>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row>
    <row r="22" spans="1:64" x14ac:dyDescent="0.25">
      <c r="A22" s="1"/>
      <c r="B22" s="92"/>
      <c r="C22" s="92"/>
      <c r="D22" s="92"/>
      <c r="E22" s="92"/>
      <c r="F22" s="92"/>
      <c r="G22" s="92"/>
      <c r="H22" s="92"/>
      <c r="I22" s="92"/>
      <c r="J22" s="92"/>
      <c r="K22" s="92"/>
      <c r="L22" s="92"/>
      <c r="M22" s="92"/>
      <c r="N22" s="92"/>
      <c r="O22" s="1"/>
      <c r="P22" s="1"/>
      <c r="Q22" s="1"/>
      <c r="R22" s="1"/>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row>
    <row r="23" spans="1:64" x14ac:dyDescent="0.25">
      <c r="A23" s="1"/>
      <c r="B23" s="92"/>
      <c r="C23" s="92"/>
      <c r="D23" s="92"/>
      <c r="E23" s="92"/>
      <c r="F23" s="92"/>
      <c r="G23" s="92"/>
      <c r="H23" s="92"/>
      <c r="I23" s="92"/>
      <c r="J23" s="92"/>
      <c r="K23" s="92"/>
      <c r="L23" s="92"/>
      <c r="M23" s="92"/>
      <c r="N23" s="92"/>
      <c r="O23" s="1"/>
      <c r="P23" s="1"/>
      <c r="Q23" s="1"/>
      <c r="R23" s="1"/>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row>
    <row r="24" spans="1:64" x14ac:dyDescent="0.25">
      <c r="A24" s="1"/>
      <c r="B24" s="92"/>
      <c r="C24" s="92"/>
      <c r="D24" s="92"/>
      <c r="E24" s="92"/>
      <c r="F24" s="92"/>
      <c r="G24" s="92"/>
      <c r="H24" s="92"/>
      <c r="I24" s="92"/>
      <c r="J24" s="92"/>
      <c r="K24" s="92"/>
      <c r="L24" s="92"/>
      <c r="M24" s="92"/>
      <c r="N24" s="92"/>
      <c r="O24" s="1"/>
      <c r="P24" s="1"/>
      <c r="Q24" s="1"/>
      <c r="R24" s="1"/>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row>
    <row r="25" spans="1:64" x14ac:dyDescent="0.25">
      <c r="A25" s="1"/>
      <c r="B25" s="92"/>
      <c r="C25" s="92"/>
      <c r="D25" s="92"/>
      <c r="E25" s="92"/>
      <c r="F25" s="92"/>
      <c r="G25" s="92"/>
      <c r="H25" s="92"/>
      <c r="I25" s="92"/>
      <c r="J25" s="92"/>
      <c r="K25" s="92"/>
      <c r="L25" s="92"/>
      <c r="M25" s="92"/>
      <c r="N25" s="92"/>
      <c r="O25" s="1"/>
      <c r="P25" s="1"/>
      <c r="Q25" s="1"/>
      <c r="R25" s="1"/>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row>
    <row r="26" spans="1:64" x14ac:dyDescent="0.25">
      <c r="A26" s="1"/>
      <c r="B26" s="92"/>
      <c r="C26" s="92"/>
      <c r="D26" s="92"/>
      <c r="E26" s="92"/>
      <c r="F26" s="92"/>
      <c r="G26" s="92"/>
      <c r="H26" s="92"/>
      <c r="I26" s="92"/>
      <c r="J26" s="92"/>
      <c r="K26" s="92"/>
      <c r="L26" s="92"/>
      <c r="M26" s="92"/>
      <c r="N26" s="92"/>
      <c r="O26" s="1"/>
      <c r="P26" s="1"/>
      <c r="Q26" s="1"/>
      <c r="R26" s="1"/>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row>
    <row r="27" spans="1:64" ht="39.75" customHeight="1" x14ac:dyDescent="0.25">
      <c r="A27" s="1"/>
      <c r="B27" s="92"/>
      <c r="C27" s="166" t="s">
        <v>1630</v>
      </c>
      <c r="D27" s="167"/>
      <c r="E27" s="167"/>
      <c r="F27" s="167"/>
      <c r="G27" s="167"/>
      <c r="H27" s="167"/>
      <c r="I27" s="167"/>
      <c r="J27" s="167"/>
      <c r="K27" s="167"/>
      <c r="L27" s="167"/>
      <c r="M27" s="167"/>
      <c r="N27" s="92"/>
      <c r="O27" s="1"/>
      <c r="P27" s="1"/>
      <c r="Q27" s="1"/>
      <c r="R27" s="1"/>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row>
    <row r="28" spans="1:64" x14ac:dyDescent="0.25">
      <c r="A28" s="1"/>
      <c r="B28" s="92"/>
      <c r="C28" s="92"/>
      <c r="D28" s="92"/>
      <c r="E28" s="92"/>
      <c r="F28" s="92"/>
      <c r="G28" s="92"/>
      <c r="H28" s="92"/>
      <c r="I28" s="92"/>
      <c r="J28" s="92"/>
      <c r="K28" s="92"/>
      <c r="L28" s="92"/>
      <c r="M28" s="92"/>
      <c r="N28" s="92"/>
      <c r="O28" s="1"/>
      <c r="P28" s="1"/>
      <c r="Q28" s="1"/>
      <c r="R28" s="1"/>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row>
    <row r="29" spans="1:64" x14ac:dyDescent="0.25">
      <c r="A29" s="1"/>
      <c r="B29" s="92"/>
      <c r="C29" s="92"/>
      <c r="D29" s="92"/>
      <c r="E29" s="92"/>
      <c r="F29" s="92"/>
      <c r="G29" s="92"/>
      <c r="H29" s="92"/>
      <c r="I29" s="92"/>
      <c r="J29" s="92"/>
      <c r="K29" s="92"/>
      <c r="L29" s="92"/>
      <c r="M29" s="92"/>
      <c r="N29" s="92"/>
      <c r="O29" s="1"/>
      <c r="P29" s="1"/>
      <c r="Q29" s="1"/>
      <c r="R29" s="1"/>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row>
    <row r="30" spans="1:64" x14ac:dyDescent="0.25">
      <c r="A30" s="1"/>
      <c r="B30" s="92"/>
      <c r="C30" s="92"/>
      <c r="D30" s="92"/>
      <c r="E30" s="92"/>
      <c r="F30" s="92"/>
      <c r="G30" s="92"/>
      <c r="H30" s="92"/>
      <c r="I30" s="92"/>
      <c r="J30" s="92"/>
      <c r="K30" s="92"/>
      <c r="L30" s="92"/>
      <c r="M30" s="92"/>
      <c r="N30" s="92"/>
      <c r="O30" s="1"/>
      <c r="P30" s="1"/>
      <c r="Q30" s="1"/>
      <c r="R30" s="1"/>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row>
    <row r="31" spans="1:64" x14ac:dyDescent="0.25">
      <c r="A31" s="1"/>
      <c r="B31" s="92"/>
      <c r="C31" s="92"/>
      <c r="D31" s="92"/>
      <c r="E31" s="92"/>
      <c r="F31" s="92"/>
      <c r="G31" s="92"/>
      <c r="H31" s="92"/>
      <c r="I31" s="92"/>
      <c r="J31" s="92"/>
      <c r="K31" s="92"/>
      <c r="L31" s="92"/>
      <c r="M31" s="92"/>
      <c r="N31" s="92"/>
      <c r="O31" s="1"/>
      <c r="P31" s="1"/>
      <c r="Q31" s="1"/>
      <c r="R31" s="1"/>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row>
    <row r="32" spans="1:64" x14ac:dyDescent="0.25">
      <c r="A32" s="1"/>
      <c r="B32" s="92"/>
      <c r="C32" s="92"/>
      <c r="D32" s="92"/>
      <c r="E32" s="92"/>
      <c r="F32" s="92"/>
      <c r="G32" s="92"/>
      <c r="H32" s="92"/>
      <c r="I32" s="92"/>
      <c r="J32" s="92"/>
      <c r="K32" s="92"/>
      <c r="L32" s="92"/>
      <c r="M32" s="92"/>
      <c r="N32" s="92"/>
      <c r="O32" s="1"/>
      <c r="P32" s="1"/>
      <c r="Q32" s="1"/>
      <c r="R32" s="1"/>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row>
    <row r="33" spans="1:64" x14ac:dyDescent="0.25">
      <c r="A33" s="1"/>
      <c r="B33" s="92"/>
      <c r="C33" s="92"/>
      <c r="D33" s="92"/>
      <c r="E33" s="92"/>
      <c r="F33" s="92"/>
      <c r="G33" s="92"/>
      <c r="H33" s="92"/>
      <c r="I33" s="92"/>
      <c r="J33" s="92"/>
      <c r="K33" s="92"/>
      <c r="L33" s="92"/>
      <c r="M33" s="92"/>
      <c r="N33" s="92"/>
      <c r="O33" s="1"/>
      <c r="P33" s="1"/>
      <c r="Q33" s="1"/>
      <c r="R33" s="1"/>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row>
    <row r="34" spans="1:64" x14ac:dyDescent="0.25">
      <c r="A34" s="1"/>
      <c r="B34" s="92"/>
      <c r="C34" s="92"/>
      <c r="D34" s="92"/>
      <c r="E34" s="92"/>
      <c r="F34" s="92"/>
      <c r="G34" s="92"/>
      <c r="H34" s="92"/>
      <c r="I34" s="92"/>
      <c r="J34" s="92"/>
      <c r="K34" s="92"/>
      <c r="L34" s="92"/>
      <c r="M34" s="92"/>
      <c r="N34" s="92"/>
      <c r="O34" s="1"/>
      <c r="P34" s="1"/>
      <c r="Q34" s="1"/>
      <c r="R34" s="1"/>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row>
    <row r="35" spans="1:64" x14ac:dyDescent="0.25">
      <c r="A35" s="1"/>
      <c r="B35" s="92"/>
      <c r="C35" s="92"/>
      <c r="D35" s="92"/>
      <c r="E35" s="92"/>
      <c r="F35" s="92"/>
      <c r="G35" s="92"/>
      <c r="H35" s="92"/>
      <c r="I35" s="92"/>
      <c r="J35" s="92"/>
      <c r="K35" s="92"/>
      <c r="L35" s="92"/>
      <c r="M35" s="92"/>
      <c r="N35" s="92"/>
      <c r="O35" s="1"/>
      <c r="P35" s="1"/>
      <c r="Q35" s="1"/>
      <c r="R35" s="1"/>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row>
    <row r="36" spans="1:64" x14ac:dyDescent="0.25">
      <c r="A36" s="1"/>
      <c r="B36" s="92"/>
      <c r="C36" s="92"/>
      <c r="D36" s="92"/>
      <c r="E36" s="92"/>
      <c r="F36" s="92"/>
      <c r="G36" s="92"/>
      <c r="H36" s="92"/>
      <c r="I36" s="92"/>
      <c r="J36" s="92"/>
      <c r="K36" s="92"/>
      <c r="L36" s="92"/>
      <c r="M36" s="92"/>
      <c r="N36" s="92"/>
      <c r="O36" s="1"/>
      <c r="P36" s="1"/>
      <c r="Q36" s="1"/>
      <c r="R36" s="1"/>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row>
    <row r="37" spans="1:64" x14ac:dyDescent="0.25">
      <c r="A37" s="1"/>
      <c r="B37" s="92"/>
      <c r="C37" s="92"/>
      <c r="D37" s="92"/>
      <c r="E37" s="92"/>
      <c r="F37" s="92"/>
      <c r="G37" s="92"/>
      <c r="H37" s="92"/>
      <c r="I37" s="92"/>
      <c r="J37" s="92"/>
      <c r="K37" s="92"/>
      <c r="L37" s="92"/>
      <c r="M37" s="92"/>
      <c r="N37" s="92"/>
      <c r="O37" s="1"/>
      <c r="P37" s="1"/>
      <c r="Q37" s="1"/>
      <c r="R37" s="1"/>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row>
    <row r="38" spans="1:64" x14ac:dyDescent="0.25">
      <c r="A38" s="1"/>
      <c r="B38" s="92"/>
      <c r="C38" s="92"/>
      <c r="D38" s="92"/>
      <c r="E38" s="92"/>
      <c r="F38" s="92"/>
      <c r="G38" s="92"/>
      <c r="H38" s="92"/>
      <c r="I38" s="92"/>
      <c r="J38" s="92"/>
      <c r="K38" s="92"/>
      <c r="L38" s="92"/>
      <c r="M38" s="92"/>
      <c r="N38" s="92"/>
      <c r="O38" s="1"/>
      <c r="P38" s="1"/>
      <c r="Q38" s="1"/>
      <c r="R38" s="1"/>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row>
    <row r="39" spans="1:64" x14ac:dyDescent="0.25">
      <c r="A39" s="1"/>
      <c r="B39" s="92"/>
      <c r="C39" s="92"/>
      <c r="D39" s="92"/>
      <c r="E39" s="92"/>
      <c r="F39" s="92"/>
      <c r="G39" s="92"/>
      <c r="H39" s="92"/>
      <c r="I39" s="92"/>
      <c r="J39" s="92"/>
      <c r="K39" s="92"/>
      <c r="L39" s="92"/>
      <c r="M39" s="92"/>
      <c r="N39" s="92"/>
      <c r="O39" s="1"/>
      <c r="P39" s="1"/>
      <c r="Q39" s="1"/>
      <c r="R39" s="1"/>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row>
    <row r="40" spans="1:64" x14ac:dyDescent="0.25">
      <c r="A40" s="1"/>
      <c r="B40" s="92"/>
      <c r="C40" s="92"/>
      <c r="D40" s="92"/>
      <c r="E40" s="92"/>
      <c r="F40" s="92"/>
      <c r="G40" s="92"/>
      <c r="H40" s="92"/>
      <c r="I40" s="92"/>
      <c r="J40" s="92"/>
      <c r="K40" s="92"/>
      <c r="L40" s="92"/>
      <c r="M40" s="92"/>
      <c r="N40" s="92"/>
      <c r="O40" s="1"/>
      <c r="P40" s="1"/>
      <c r="Q40" s="1"/>
      <c r="R40" s="1"/>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row>
    <row r="41" spans="1:64" x14ac:dyDescent="0.25">
      <c r="A41" s="1"/>
      <c r="B41" s="92"/>
      <c r="C41" s="92"/>
      <c r="D41" s="92"/>
      <c r="E41" s="92"/>
      <c r="F41" s="92"/>
      <c r="G41" s="92"/>
      <c r="H41" s="92"/>
      <c r="I41" s="92"/>
      <c r="J41" s="92"/>
      <c r="K41" s="92"/>
      <c r="L41" s="92"/>
      <c r="M41" s="92"/>
      <c r="N41" s="92"/>
      <c r="O41" s="1"/>
      <c r="P41" s="1"/>
      <c r="Q41" s="1"/>
      <c r="R41" s="1"/>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row>
    <row r="42" spans="1:64" x14ac:dyDescent="0.25">
      <c r="A42" s="1"/>
      <c r="B42" s="92"/>
      <c r="C42" s="92"/>
      <c r="D42" s="92"/>
      <c r="E42" s="92"/>
      <c r="F42" s="92"/>
      <c r="G42" s="92"/>
      <c r="H42" s="92"/>
      <c r="I42" s="92"/>
      <c r="J42" s="92"/>
      <c r="K42" s="92"/>
      <c r="L42" s="92"/>
      <c r="M42" s="92"/>
      <c r="N42" s="92"/>
      <c r="O42" s="1"/>
      <c r="P42" s="1"/>
      <c r="Q42" s="1"/>
      <c r="R42" s="1"/>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row>
    <row r="43" spans="1:64" x14ac:dyDescent="0.25">
      <c r="A43" s="1"/>
      <c r="B43" s="92"/>
      <c r="C43" s="92"/>
      <c r="D43" s="92"/>
      <c r="E43" s="92"/>
      <c r="F43" s="92"/>
      <c r="G43" s="92"/>
      <c r="H43" s="92"/>
      <c r="I43" s="92"/>
      <c r="J43" s="92"/>
      <c r="K43" s="92"/>
      <c r="L43" s="92"/>
      <c r="M43" s="92"/>
      <c r="N43" s="92"/>
      <c r="O43" s="1"/>
      <c r="P43" s="1"/>
      <c r="Q43" s="1"/>
      <c r="R43" s="1"/>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row>
    <row r="44" spans="1:64" x14ac:dyDescent="0.25">
      <c r="A44" s="1"/>
      <c r="B44" s="92"/>
      <c r="C44" s="92"/>
      <c r="D44" s="92"/>
      <c r="E44" s="92"/>
      <c r="F44" s="92"/>
      <c r="G44" s="92"/>
      <c r="H44" s="92"/>
      <c r="I44" s="92"/>
      <c r="J44" s="92"/>
      <c r="K44" s="92"/>
      <c r="L44" s="92"/>
      <c r="M44" s="92"/>
      <c r="N44" s="92"/>
      <c r="O44" s="1"/>
      <c r="P44" s="1"/>
      <c r="Q44" s="1"/>
      <c r="R44" s="1"/>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row>
    <row r="45" spans="1:64" x14ac:dyDescent="0.25">
      <c r="A45" s="1"/>
      <c r="B45" s="92"/>
      <c r="C45" s="92"/>
      <c r="D45" s="92"/>
      <c r="E45" s="92"/>
      <c r="F45" s="92"/>
      <c r="G45" s="92"/>
      <c r="H45" s="92"/>
      <c r="I45" s="92"/>
      <c r="J45" s="92"/>
      <c r="K45" s="92"/>
      <c r="L45" s="92"/>
      <c r="M45" s="92"/>
      <c r="N45" s="92"/>
      <c r="O45" s="1"/>
      <c r="P45" s="1"/>
      <c r="Q45" s="1"/>
      <c r="R45" s="1"/>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row>
    <row r="46" spans="1:64" ht="39.75" customHeight="1" x14ac:dyDescent="0.25">
      <c r="A46" s="1"/>
      <c r="B46" s="92"/>
      <c r="C46" s="168" t="s">
        <v>1631</v>
      </c>
      <c r="D46" s="169"/>
      <c r="E46" s="169"/>
      <c r="F46" s="169"/>
      <c r="G46" s="169"/>
      <c r="H46" s="169"/>
      <c r="I46" s="169"/>
      <c r="J46" s="169"/>
      <c r="K46" s="169"/>
      <c r="L46" s="169"/>
      <c r="M46" s="169"/>
      <c r="N46" s="92"/>
      <c r="O46" s="1"/>
      <c r="P46" s="1"/>
      <c r="Q46" s="1"/>
      <c r="R46" s="1"/>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row>
    <row r="47" spans="1:64" x14ac:dyDescent="0.25">
      <c r="A47" s="1"/>
      <c r="B47" s="92"/>
      <c r="C47" s="92"/>
      <c r="D47" s="92"/>
      <c r="E47" s="92"/>
      <c r="F47" s="92"/>
      <c r="G47" s="92"/>
      <c r="H47" s="92"/>
      <c r="I47" s="92"/>
      <c r="J47" s="92"/>
      <c r="K47" s="92"/>
      <c r="L47" s="92"/>
      <c r="M47" s="92"/>
      <c r="N47" s="92"/>
      <c r="O47" s="1"/>
      <c r="P47" s="1"/>
      <c r="Q47" s="1"/>
      <c r="R47" s="1"/>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row>
    <row r="48" spans="1:64" x14ac:dyDescent="0.25">
      <c r="A48" s="1"/>
      <c r="B48" s="92"/>
      <c r="C48" s="92"/>
      <c r="D48" s="92"/>
      <c r="E48" s="92"/>
      <c r="F48" s="92"/>
      <c r="G48" s="92"/>
      <c r="H48" s="92"/>
      <c r="I48" s="92"/>
      <c r="J48" s="92"/>
      <c r="K48" s="92"/>
      <c r="L48" s="92"/>
      <c r="M48" s="92"/>
      <c r="N48" s="92"/>
      <c r="O48" s="1"/>
      <c r="P48" s="1"/>
      <c r="Q48" s="1"/>
      <c r="R48" s="1"/>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row>
    <row r="49" spans="1:64" x14ac:dyDescent="0.25">
      <c r="A49" s="1"/>
      <c r="B49" s="92"/>
      <c r="C49" s="92"/>
      <c r="D49" s="92"/>
      <c r="E49" s="92"/>
      <c r="F49" s="92"/>
      <c r="G49" s="92"/>
      <c r="H49" s="92"/>
      <c r="I49" s="92"/>
      <c r="J49" s="92"/>
      <c r="K49" s="92"/>
      <c r="L49" s="92"/>
      <c r="M49" s="92"/>
      <c r="N49" s="92"/>
      <c r="O49" s="1"/>
      <c r="P49" s="1"/>
      <c r="Q49" s="1"/>
      <c r="R49" s="1"/>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row>
    <row r="50" spans="1:64" x14ac:dyDescent="0.25">
      <c r="A50" s="1"/>
      <c r="B50" s="92"/>
      <c r="C50" s="92"/>
      <c r="D50" s="92"/>
      <c r="E50" s="92"/>
      <c r="F50" s="92"/>
      <c r="G50" s="92"/>
      <c r="H50" s="92"/>
      <c r="I50" s="92"/>
      <c r="J50" s="92"/>
      <c r="K50" s="92"/>
      <c r="L50" s="92"/>
      <c r="M50" s="92"/>
      <c r="N50" s="92"/>
      <c r="O50" s="1"/>
      <c r="P50" s="1"/>
      <c r="Q50" s="1"/>
      <c r="R50" s="1"/>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row>
    <row r="51" spans="1:64" x14ac:dyDescent="0.25">
      <c r="A51" s="1"/>
      <c r="B51" s="92"/>
      <c r="C51" s="92"/>
      <c r="D51" s="92"/>
      <c r="E51" s="92"/>
      <c r="F51" s="92"/>
      <c r="G51" s="92"/>
      <c r="H51" s="92"/>
      <c r="I51" s="92"/>
      <c r="J51" s="92"/>
      <c r="K51" s="92"/>
      <c r="L51" s="92"/>
      <c r="M51" s="92"/>
      <c r="N51" s="92"/>
      <c r="O51" s="1"/>
      <c r="P51" s="1"/>
      <c r="Q51" s="1"/>
      <c r="R51" s="1"/>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row>
    <row r="52" spans="1:64" x14ac:dyDescent="0.25">
      <c r="A52" s="1"/>
      <c r="B52" s="92"/>
      <c r="C52" s="92"/>
      <c r="D52" s="92"/>
      <c r="E52" s="92"/>
      <c r="F52" s="92"/>
      <c r="G52" s="92"/>
      <c r="H52" s="92"/>
      <c r="I52" s="92"/>
      <c r="J52" s="92"/>
      <c r="K52" s="92"/>
      <c r="L52" s="92"/>
      <c r="M52" s="92"/>
      <c r="N52" s="92"/>
      <c r="O52" s="1"/>
      <c r="P52" s="1"/>
      <c r="Q52" s="1"/>
      <c r="R52" s="1"/>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row>
    <row r="53" spans="1:64" x14ac:dyDescent="0.25">
      <c r="A53" s="1"/>
      <c r="B53" s="92"/>
      <c r="C53" s="92"/>
      <c r="D53" s="92"/>
      <c r="E53" s="92"/>
      <c r="F53" s="92"/>
      <c r="G53" s="92"/>
      <c r="H53" s="92"/>
      <c r="I53" s="92"/>
      <c r="J53" s="92"/>
      <c r="K53" s="92"/>
      <c r="L53" s="92"/>
      <c r="M53" s="92"/>
      <c r="N53" s="92"/>
      <c r="O53" s="1"/>
      <c r="P53" s="1"/>
      <c r="Q53" s="1"/>
      <c r="R53" s="1"/>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row>
    <row r="54" spans="1:64" x14ac:dyDescent="0.25">
      <c r="A54" s="1"/>
      <c r="B54" s="92"/>
      <c r="C54" s="92"/>
      <c r="D54" s="92"/>
      <c r="E54" s="92"/>
      <c r="F54" s="92"/>
      <c r="G54" s="92"/>
      <c r="H54" s="92"/>
      <c r="I54" s="92"/>
      <c r="J54" s="92"/>
      <c r="K54" s="92"/>
      <c r="L54" s="92"/>
      <c r="M54" s="92"/>
      <c r="N54" s="92"/>
      <c r="O54" s="1"/>
      <c r="P54" s="1"/>
      <c r="Q54" s="1"/>
      <c r="R54" s="1"/>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row>
    <row r="55" spans="1:64" x14ac:dyDescent="0.25">
      <c r="A55" s="1"/>
      <c r="B55" s="92"/>
      <c r="C55" s="92"/>
      <c r="D55" s="92"/>
      <c r="E55" s="92"/>
      <c r="F55" s="92"/>
      <c r="G55" s="92"/>
      <c r="H55" s="92"/>
      <c r="I55" s="92"/>
      <c r="J55" s="92"/>
      <c r="K55" s="92"/>
      <c r="L55" s="92"/>
      <c r="M55" s="92"/>
      <c r="N55" s="92"/>
      <c r="O55" s="1"/>
      <c r="P55" s="1"/>
      <c r="Q55" s="1"/>
      <c r="R55" s="1"/>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row>
    <row r="56" spans="1:64" x14ac:dyDescent="0.25">
      <c r="A56" s="1"/>
      <c r="B56" s="92"/>
      <c r="C56" s="92"/>
      <c r="D56" s="92"/>
      <c r="E56" s="92"/>
      <c r="F56" s="92"/>
      <c r="G56" s="92"/>
      <c r="H56" s="92"/>
      <c r="I56" s="92"/>
      <c r="J56" s="92"/>
      <c r="K56" s="92"/>
      <c r="L56" s="92"/>
      <c r="M56" s="92"/>
      <c r="N56" s="92"/>
      <c r="O56" s="1"/>
      <c r="P56" s="1"/>
      <c r="Q56" s="1"/>
      <c r="R56" s="1"/>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row>
    <row r="57" spans="1:64" x14ac:dyDescent="0.25">
      <c r="A57" s="1"/>
      <c r="B57" s="92"/>
      <c r="C57" s="92"/>
      <c r="D57" s="92"/>
      <c r="E57" s="92"/>
      <c r="F57" s="92"/>
      <c r="G57" s="92"/>
      <c r="H57" s="92"/>
      <c r="I57" s="92"/>
      <c r="J57" s="92"/>
      <c r="K57" s="92"/>
      <c r="L57" s="92"/>
      <c r="M57" s="92"/>
      <c r="N57" s="92"/>
      <c r="O57" s="1"/>
      <c r="P57" s="1"/>
      <c r="Q57" s="1"/>
      <c r="R57" s="1"/>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row>
    <row r="58" spans="1:64" x14ac:dyDescent="0.25">
      <c r="A58" s="1"/>
      <c r="B58" s="92"/>
      <c r="C58" s="92"/>
      <c r="D58" s="92"/>
      <c r="E58" s="92"/>
      <c r="F58" s="92"/>
      <c r="G58" s="92"/>
      <c r="H58" s="92"/>
      <c r="I58" s="92"/>
      <c r="J58" s="92"/>
      <c r="K58" s="92"/>
      <c r="L58" s="92"/>
      <c r="M58" s="92"/>
      <c r="N58" s="92"/>
      <c r="O58" s="1"/>
      <c r="P58" s="1"/>
      <c r="Q58" s="1"/>
      <c r="R58" s="1"/>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row>
    <row r="59" spans="1:64" x14ac:dyDescent="0.25">
      <c r="A59" s="1"/>
      <c r="B59" s="92"/>
      <c r="C59" s="92"/>
      <c r="D59" s="92"/>
      <c r="E59" s="92"/>
      <c r="F59" s="92"/>
      <c r="G59" s="92"/>
      <c r="H59" s="92"/>
      <c r="I59" s="92"/>
      <c r="J59" s="92"/>
      <c r="K59" s="92"/>
      <c r="L59" s="92"/>
      <c r="M59" s="92"/>
      <c r="N59" s="92"/>
      <c r="O59" s="1"/>
      <c r="P59" s="1"/>
      <c r="Q59" s="1"/>
      <c r="R59" s="1"/>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row>
    <row r="60" spans="1:64" x14ac:dyDescent="0.25">
      <c r="A60" s="1"/>
      <c r="B60" s="92"/>
      <c r="C60" s="92"/>
      <c r="D60" s="92"/>
      <c r="E60" s="92"/>
      <c r="F60" s="92"/>
      <c r="G60" s="92"/>
      <c r="H60" s="92"/>
      <c r="I60" s="92"/>
      <c r="J60" s="92"/>
      <c r="K60" s="92"/>
      <c r="L60" s="92"/>
      <c r="M60" s="92"/>
      <c r="N60" s="92"/>
      <c r="O60" s="1"/>
      <c r="P60" s="1"/>
      <c r="Q60" s="1"/>
      <c r="R60" s="1"/>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row>
    <row r="61" spans="1:64" x14ac:dyDescent="0.25">
      <c r="A61" s="1"/>
      <c r="B61" s="92"/>
      <c r="C61" s="92"/>
      <c r="D61" s="92"/>
      <c r="E61" s="92"/>
      <c r="F61" s="92"/>
      <c r="G61" s="92"/>
      <c r="H61" s="92"/>
      <c r="I61" s="92"/>
      <c r="J61" s="92"/>
      <c r="K61" s="92"/>
      <c r="L61" s="92"/>
      <c r="M61" s="92"/>
      <c r="N61" s="92"/>
      <c r="O61" s="1"/>
      <c r="P61" s="1"/>
      <c r="Q61" s="1"/>
      <c r="R61" s="1"/>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row>
    <row r="62" spans="1:64" x14ac:dyDescent="0.25">
      <c r="A62" s="1"/>
      <c r="B62" s="92"/>
      <c r="C62" s="92"/>
      <c r="D62" s="92"/>
      <c r="E62" s="92"/>
      <c r="F62" s="92"/>
      <c r="G62" s="92"/>
      <c r="H62" s="92"/>
      <c r="I62" s="92"/>
      <c r="J62" s="92"/>
      <c r="K62" s="92"/>
      <c r="L62" s="92"/>
      <c r="M62" s="92"/>
      <c r="N62" s="92"/>
      <c r="O62" s="1"/>
      <c r="P62" s="1"/>
      <c r="Q62" s="1"/>
      <c r="R62" s="1"/>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row>
    <row r="63" spans="1:64" x14ac:dyDescent="0.25">
      <c r="A63" s="1"/>
      <c r="B63" s="92"/>
      <c r="C63" s="92"/>
      <c r="D63" s="92"/>
      <c r="E63" s="92"/>
      <c r="F63" s="92"/>
      <c r="G63" s="92"/>
      <c r="H63" s="92"/>
      <c r="I63" s="92"/>
      <c r="J63" s="92"/>
      <c r="K63" s="92"/>
      <c r="L63" s="92"/>
      <c r="M63" s="92"/>
      <c r="N63" s="92"/>
      <c r="O63" s="1"/>
      <c r="P63" s="1"/>
      <c r="Q63" s="1"/>
      <c r="R63" s="1"/>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row>
    <row r="64" spans="1:64" x14ac:dyDescent="0.25">
      <c r="A64" s="1"/>
      <c r="B64" s="92"/>
      <c r="C64" s="92"/>
      <c r="D64" s="92"/>
      <c r="E64" s="92"/>
      <c r="F64" s="92"/>
      <c r="G64" s="92"/>
      <c r="H64" s="92"/>
      <c r="I64" s="92"/>
      <c r="J64" s="92"/>
      <c r="K64" s="92"/>
      <c r="L64" s="92"/>
      <c r="M64" s="92"/>
      <c r="N64" s="92"/>
      <c r="O64" s="1"/>
      <c r="P64" s="1"/>
      <c r="Q64" s="1"/>
      <c r="R64" s="1"/>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row>
    <row r="65" spans="1:64" ht="39.75" customHeight="1" x14ac:dyDescent="0.25">
      <c r="A65" s="1"/>
      <c r="B65" s="137"/>
      <c r="C65" s="138" t="s">
        <v>1632</v>
      </c>
      <c r="D65" s="139"/>
      <c r="E65" s="139"/>
      <c r="F65" s="139"/>
      <c r="G65" s="139"/>
      <c r="H65" s="139"/>
      <c r="I65" s="139"/>
      <c r="J65" s="139"/>
      <c r="K65" s="139"/>
      <c r="L65" s="139"/>
      <c r="M65" s="139"/>
      <c r="N65" s="92"/>
      <c r="O65" s="1"/>
      <c r="P65" s="1"/>
      <c r="Q65" s="1"/>
      <c r="R65" s="1"/>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row>
    <row r="66" spans="1:64" x14ac:dyDescent="0.25">
      <c r="A66" s="1"/>
      <c r="B66" s="92"/>
      <c r="C66" s="92"/>
      <c r="D66" s="92"/>
      <c r="E66" s="92"/>
      <c r="F66" s="92"/>
      <c r="G66" s="92"/>
      <c r="H66" s="92"/>
      <c r="I66" s="92"/>
      <c r="J66" s="92"/>
      <c r="K66" s="92"/>
      <c r="L66" s="92"/>
      <c r="M66" s="92"/>
      <c r="N66" s="92"/>
      <c r="O66" s="1"/>
      <c r="P66" s="1"/>
      <c r="Q66" s="1"/>
      <c r="R66" s="1"/>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row>
    <row r="67" spans="1:64" x14ac:dyDescent="0.25">
      <c r="A67" s="1"/>
      <c r="B67" s="92"/>
      <c r="C67" s="92"/>
      <c r="D67" s="92"/>
      <c r="E67" s="92"/>
      <c r="F67" s="92"/>
      <c r="G67" s="92"/>
      <c r="H67" s="92"/>
      <c r="I67" s="92"/>
      <c r="J67" s="92"/>
      <c r="K67" s="92"/>
      <c r="L67" s="92"/>
      <c r="M67" s="92"/>
      <c r="N67" s="92"/>
      <c r="O67" s="1"/>
      <c r="P67" s="1"/>
      <c r="Q67" s="1"/>
      <c r="R67" s="1"/>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row>
    <row r="68" spans="1:64" x14ac:dyDescent="0.25">
      <c r="A68" s="1"/>
      <c r="B68" s="92"/>
      <c r="C68" s="92"/>
      <c r="D68" s="92"/>
      <c r="E68" s="92"/>
      <c r="F68" s="92"/>
      <c r="G68" s="92"/>
      <c r="H68" s="92"/>
      <c r="I68" s="92"/>
      <c r="J68" s="92"/>
      <c r="K68" s="92"/>
      <c r="L68" s="92"/>
      <c r="M68" s="92"/>
      <c r="N68" s="92"/>
      <c r="O68" s="1"/>
      <c r="P68" s="1"/>
      <c r="Q68" s="1"/>
      <c r="R68" s="1"/>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row>
    <row r="69" spans="1:64" x14ac:dyDescent="0.25">
      <c r="A69" s="1"/>
      <c r="B69" s="92"/>
      <c r="C69" s="92"/>
      <c r="D69" s="92"/>
      <c r="E69" s="92"/>
      <c r="F69" s="92"/>
      <c r="G69" s="92"/>
      <c r="H69" s="92"/>
      <c r="I69" s="92"/>
      <c r="J69" s="92"/>
      <c r="K69" s="92"/>
      <c r="L69" s="92"/>
      <c r="M69" s="92"/>
      <c r="N69" s="92"/>
      <c r="O69" s="1"/>
      <c r="P69" s="1"/>
      <c r="Q69" s="1"/>
      <c r="R69" s="1"/>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row>
    <row r="70" spans="1:64" x14ac:dyDescent="0.25">
      <c r="A70" s="1"/>
      <c r="B70" s="92"/>
      <c r="C70" s="92"/>
      <c r="D70" s="92"/>
      <c r="E70" s="92"/>
      <c r="F70" s="92"/>
      <c r="G70" s="92"/>
      <c r="H70" s="92"/>
      <c r="I70" s="92"/>
      <c r="J70" s="92"/>
      <c r="K70" s="92"/>
      <c r="L70" s="92"/>
      <c r="M70" s="92"/>
      <c r="N70" s="92"/>
      <c r="O70" s="1"/>
      <c r="P70" s="1"/>
      <c r="Q70" s="1"/>
      <c r="R70" s="1"/>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row>
    <row r="71" spans="1:64" x14ac:dyDescent="0.25">
      <c r="A71" s="1"/>
      <c r="B71" s="92"/>
      <c r="C71" s="92"/>
      <c r="D71" s="92"/>
      <c r="E71" s="92"/>
      <c r="F71" s="92"/>
      <c r="G71" s="92"/>
      <c r="H71" s="92"/>
      <c r="I71" s="92"/>
      <c r="J71" s="92"/>
      <c r="K71" s="92"/>
      <c r="L71" s="92"/>
      <c r="M71" s="92"/>
      <c r="N71" s="92"/>
      <c r="O71" s="1"/>
      <c r="P71" s="1"/>
      <c r="Q71" s="1"/>
      <c r="R71" s="1"/>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row>
    <row r="72" spans="1:64" x14ac:dyDescent="0.25">
      <c r="A72" s="1"/>
      <c r="B72" s="92"/>
      <c r="C72" s="92"/>
      <c r="D72" s="92"/>
      <c r="E72" s="92"/>
      <c r="F72" s="92"/>
      <c r="G72" s="92"/>
      <c r="H72" s="92"/>
      <c r="I72" s="92"/>
      <c r="J72" s="92"/>
      <c r="K72" s="92"/>
      <c r="L72" s="92"/>
      <c r="M72" s="92"/>
      <c r="N72" s="92"/>
      <c r="O72" s="1"/>
      <c r="P72" s="1"/>
      <c r="Q72" s="1"/>
      <c r="R72" s="1"/>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row>
    <row r="73" spans="1:64" x14ac:dyDescent="0.25">
      <c r="A73" s="1"/>
      <c r="B73" s="92"/>
      <c r="C73" s="92"/>
      <c r="D73" s="92"/>
      <c r="E73" s="92"/>
      <c r="F73" s="92"/>
      <c r="G73" s="92"/>
      <c r="H73" s="92"/>
      <c r="I73" s="92"/>
      <c r="J73" s="92"/>
      <c r="K73" s="92"/>
      <c r="L73" s="92"/>
      <c r="M73" s="92"/>
      <c r="N73" s="92"/>
      <c r="O73" s="1"/>
      <c r="P73" s="1"/>
      <c r="Q73" s="1"/>
      <c r="R73" s="1"/>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row>
    <row r="74" spans="1:64" x14ac:dyDescent="0.25">
      <c r="A74" s="1"/>
      <c r="B74" s="92"/>
      <c r="C74" s="92"/>
      <c r="D74" s="92"/>
      <c r="E74" s="92"/>
      <c r="F74" s="92"/>
      <c r="G74" s="92"/>
      <c r="H74" s="92"/>
      <c r="I74" s="92"/>
      <c r="J74" s="92"/>
      <c r="K74" s="92"/>
      <c r="L74" s="92"/>
      <c r="M74" s="92"/>
      <c r="N74" s="92"/>
      <c r="O74" s="1"/>
      <c r="P74" s="1"/>
      <c r="Q74" s="1"/>
      <c r="R74" s="1"/>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row>
    <row r="75" spans="1:64" x14ac:dyDescent="0.25">
      <c r="A75" s="1"/>
      <c r="B75" s="92"/>
      <c r="C75" s="92"/>
      <c r="D75" s="92"/>
      <c r="E75" s="92"/>
      <c r="F75" s="92"/>
      <c r="G75" s="92"/>
      <c r="H75" s="92"/>
      <c r="I75" s="92"/>
      <c r="J75" s="92"/>
      <c r="K75" s="92"/>
      <c r="L75" s="92"/>
      <c r="M75" s="92"/>
      <c r="N75" s="92"/>
      <c r="O75" s="1"/>
      <c r="P75" s="1"/>
      <c r="Q75" s="1"/>
      <c r="R75" s="1"/>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row>
    <row r="76" spans="1:64" x14ac:dyDescent="0.25">
      <c r="A76" s="1"/>
      <c r="B76" s="92"/>
      <c r="C76" s="92"/>
      <c r="D76" s="92"/>
      <c r="E76" s="92"/>
      <c r="F76" s="92"/>
      <c r="G76" s="92"/>
      <c r="H76" s="92"/>
      <c r="I76" s="92"/>
      <c r="J76" s="92"/>
      <c r="K76" s="92"/>
      <c r="L76" s="92"/>
      <c r="M76" s="92"/>
      <c r="N76" s="92"/>
      <c r="O76" s="1"/>
      <c r="P76" s="1"/>
      <c r="Q76" s="1"/>
      <c r="R76" s="1"/>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row>
    <row r="77" spans="1:64" x14ac:dyDescent="0.25">
      <c r="A77" s="1"/>
      <c r="B77" s="92"/>
      <c r="C77" s="92"/>
      <c r="D77" s="92"/>
      <c r="E77" s="92"/>
      <c r="F77" s="92"/>
      <c r="G77" s="92"/>
      <c r="H77" s="92"/>
      <c r="I77" s="92"/>
      <c r="J77" s="92"/>
      <c r="K77" s="92"/>
      <c r="L77" s="92"/>
      <c r="M77" s="92"/>
      <c r="N77" s="92"/>
      <c r="O77" s="1"/>
      <c r="P77" s="1"/>
      <c r="Q77" s="1"/>
      <c r="R77" s="1"/>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row>
    <row r="78" spans="1:64" x14ac:dyDescent="0.25">
      <c r="A78" s="1"/>
      <c r="B78" s="92"/>
      <c r="C78" s="92"/>
      <c r="D78" s="92"/>
      <c r="E78" s="92"/>
      <c r="F78" s="92"/>
      <c r="G78" s="92"/>
      <c r="H78" s="92"/>
      <c r="I78" s="92"/>
      <c r="J78" s="92"/>
      <c r="K78" s="92"/>
      <c r="L78" s="92"/>
      <c r="M78" s="92"/>
      <c r="N78" s="92"/>
      <c r="O78" s="1"/>
      <c r="P78" s="1"/>
      <c r="Q78" s="1"/>
      <c r="R78" s="1"/>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row>
    <row r="79" spans="1:64" x14ac:dyDescent="0.25">
      <c r="A79" s="1"/>
      <c r="B79" s="92"/>
      <c r="C79" s="92"/>
      <c r="D79" s="92"/>
      <c r="E79" s="92"/>
      <c r="F79" s="92"/>
      <c r="G79" s="92"/>
      <c r="H79" s="92"/>
      <c r="I79" s="92"/>
      <c r="J79" s="92"/>
      <c r="K79" s="92"/>
      <c r="L79" s="92"/>
      <c r="M79" s="92"/>
      <c r="N79" s="92"/>
      <c r="O79" s="1"/>
      <c r="P79" s="1"/>
      <c r="Q79" s="1"/>
      <c r="R79" s="1"/>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row>
    <row r="80" spans="1:64" x14ac:dyDescent="0.25">
      <c r="A80" s="1"/>
      <c r="B80" s="92"/>
      <c r="C80" s="92"/>
      <c r="D80" s="92"/>
      <c r="E80" s="92"/>
      <c r="F80" s="92"/>
      <c r="G80" s="92"/>
      <c r="H80" s="92"/>
      <c r="I80" s="92"/>
      <c r="J80" s="92"/>
      <c r="K80" s="92"/>
      <c r="L80" s="92"/>
      <c r="M80" s="92"/>
      <c r="N80" s="92"/>
      <c r="O80" s="1"/>
      <c r="P80" s="1"/>
      <c r="Q80" s="1"/>
      <c r="R80" s="1"/>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row>
    <row r="81" spans="1:64" x14ac:dyDescent="0.25">
      <c r="A81" s="1"/>
      <c r="B81" s="92"/>
      <c r="C81" s="92"/>
      <c r="D81" s="92"/>
      <c r="E81" s="92"/>
      <c r="F81" s="92"/>
      <c r="G81" s="92"/>
      <c r="H81" s="92"/>
      <c r="I81" s="92"/>
      <c r="J81" s="92"/>
      <c r="K81" s="92"/>
      <c r="L81" s="92"/>
      <c r="M81" s="92"/>
      <c r="N81" s="92"/>
      <c r="O81" s="1"/>
      <c r="P81" s="1"/>
      <c r="Q81" s="1"/>
      <c r="R81" s="1"/>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row>
    <row r="82" spans="1:64" x14ac:dyDescent="0.25">
      <c r="A82" s="1"/>
      <c r="B82" s="92"/>
      <c r="C82" s="92"/>
      <c r="D82" s="92"/>
      <c r="E82" s="92"/>
      <c r="F82" s="92"/>
      <c r="G82" s="92"/>
      <c r="H82" s="92"/>
      <c r="I82" s="92"/>
      <c r="J82" s="92"/>
      <c r="K82" s="92"/>
      <c r="L82" s="92"/>
      <c r="M82" s="92"/>
      <c r="N82" s="92"/>
      <c r="O82" s="1"/>
      <c r="P82" s="1"/>
      <c r="Q82" s="1"/>
      <c r="R82" s="1"/>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row>
    <row r="83" spans="1:64" x14ac:dyDescent="0.25">
      <c r="A83" s="1"/>
      <c r="B83" s="92"/>
      <c r="C83" s="92"/>
      <c r="D83" s="92"/>
      <c r="E83" s="92"/>
      <c r="F83" s="92"/>
      <c r="G83" s="92"/>
      <c r="H83" s="92"/>
      <c r="I83" s="92"/>
      <c r="J83" s="92"/>
      <c r="K83" s="92"/>
      <c r="L83" s="92"/>
      <c r="M83" s="92"/>
      <c r="N83" s="92"/>
      <c r="O83" s="1"/>
      <c r="P83" s="1"/>
      <c r="Q83" s="1"/>
      <c r="R83" s="1"/>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row>
    <row r="84" spans="1:64" x14ac:dyDescent="0.25">
      <c r="A84" s="1"/>
      <c r="B84" s="92"/>
      <c r="C84" s="92"/>
      <c r="D84" s="92"/>
      <c r="E84" s="92"/>
      <c r="F84" s="92"/>
      <c r="G84" s="92"/>
      <c r="H84" s="92"/>
      <c r="I84" s="92"/>
      <c r="J84" s="92"/>
      <c r="K84" s="92"/>
      <c r="L84" s="92"/>
      <c r="M84" s="92"/>
      <c r="N84" s="92"/>
      <c r="O84" s="1"/>
      <c r="P84" s="1"/>
      <c r="Q84" s="1"/>
      <c r="R84" s="1"/>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row>
    <row r="85" spans="1:64" x14ac:dyDescent="0.25">
      <c r="A85" s="1"/>
      <c r="B85" s="92"/>
      <c r="C85" s="92"/>
      <c r="D85" s="92"/>
      <c r="E85" s="92"/>
      <c r="F85" s="92"/>
      <c r="G85" s="92"/>
      <c r="H85" s="92"/>
      <c r="I85" s="92"/>
      <c r="J85" s="92"/>
      <c r="K85" s="92"/>
      <c r="L85" s="92"/>
      <c r="M85" s="92"/>
      <c r="N85" s="92"/>
      <c r="O85" s="1"/>
      <c r="P85" s="1"/>
      <c r="Q85" s="1"/>
      <c r="R85" s="1"/>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row>
    <row r="86" spans="1:64" x14ac:dyDescent="0.25">
      <c r="A86" s="1"/>
      <c r="B86" s="92"/>
      <c r="C86" s="92"/>
      <c r="D86" s="92"/>
      <c r="E86" s="92"/>
      <c r="F86" s="92"/>
      <c r="G86" s="92"/>
      <c r="H86" s="92"/>
      <c r="I86" s="92"/>
      <c r="J86" s="92"/>
      <c r="K86" s="92"/>
      <c r="L86" s="92"/>
      <c r="M86" s="92"/>
      <c r="N86" s="92"/>
      <c r="O86" s="1"/>
      <c r="P86" s="1"/>
      <c r="Q86" s="1"/>
      <c r="R86" s="1"/>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row>
    <row r="87" spans="1:64" x14ac:dyDescent="0.25">
      <c r="A87" s="1"/>
      <c r="B87" s="92"/>
      <c r="C87" s="92"/>
      <c r="D87" s="92"/>
      <c r="E87" s="92"/>
      <c r="F87" s="92"/>
      <c r="G87" s="92"/>
      <c r="H87" s="92"/>
      <c r="I87" s="92"/>
      <c r="J87" s="92"/>
      <c r="K87" s="92"/>
      <c r="L87" s="92"/>
      <c r="M87" s="92"/>
      <c r="N87" s="92"/>
      <c r="O87" s="1"/>
      <c r="P87" s="1"/>
      <c r="Q87" s="1"/>
      <c r="R87" s="1"/>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row>
    <row r="88" spans="1:64" x14ac:dyDescent="0.25">
      <c r="A88" s="1"/>
      <c r="B88" s="92"/>
      <c r="C88" s="92"/>
      <c r="D88" s="92"/>
      <c r="E88" s="92"/>
      <c r="F88" s="92"/>
      <c r="G88" s="92"/>
      <c r="H88" s="92"/>
      <c r="I88" s="92"/>
      <c r="J88" s="92"/>
      <c r="K88" s="92"/>
      <c r="L88" s="92"/>
      <c r="M88" s="92"/>
      <c r="N88" s="92"/>
      <c r="O88" s="1"/>
      <c r="P88" s="1"/>
      <c r="Q88" s="1"/>
      <c r="R88" s="1"/>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row>
    <row r="89" spans="1:64" x14ac:dyDescent="0.25">
      <c r="A89" s="1"/>
      <c r="B89" s="92"/>
      <c r="C89" s="92"/>
      <c r="D89" s="92"/>
      <c r="E89" s="92"/>
      <c r="F89" s="92"/>
      <c r="G89" s="92"/>
      <c r="H89" s="92"/>
      <c r="I89" s="92"/>
      <c r="J89" s="92"/>
      <c r="K89" s="92"/>
      <c r="L89" s="92"/>
      <c r="M89" s="92"/>
      <c r="N89" s="92"/>
      <c r="O89" s="1"/>
      <c r="P89" s="1"/>
      <c r="Q89" s="1"/>
      <c r="R89" s="1"/>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row>
    <row r="90" spans="1:64" x14ac:dyDescent="0.25">
      <c r="A90" s="1"/>
      <c r="B90" s="92"/>
      <c r="C90" s="92"/>
      <c r="D90" s="92"/>
      <c r="E90" s="92"/>
      <c r="F90" s="92"/>
      <c r="G90" s="92"/>
      <c r="H90" s="92"/>
      <c r="I90" s="92"/>
      <c r="J90" s="92"/>
      <c r="K90" s="92"/>
      <c r="L90" s="92"/>
      <c r="M90" s="92"/>
      <c r="N90" s="92"/>
      <c r="O90" s="1"/>
      <c r="P90" s="1"/>
      <c r="Q90" s="1"/>
      <c r="R90" s="1"/>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row>
    <row r="91" spans="1:64" x14ac:dyDescent="0.25">
      <c r="A91" s="1"/>
      <c r="B91" s="92"/>
      <c r="C91" s="92"/>
      <c r="D91" s="92"/>
      <c r="E91" s="92"/>
      <c r="F91" s="92"/>
      <c r="G91" s="92"/>
      <c r="H91" s="92"/>
      <c r="I91" s="92"/>
      <c r="J91" s="92"/>
      <c r="K91" s="92"/>
      <c r="L91" s="92"/>
      <c r="M91" s="92"/>
      <c r="N91" s="92"/>
      <c r="O91" s="1"/>
      <c r="P91" s="1"/>
      <c r="Q91" s="1"/>
      <c r="R91" s="1"/>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row>
    <row r="92" spans="1:64" x14ac:dyDescent="0.25">
      <c r="A92" s="1"/>
      <c r="B92" s="92"/>
      <c r="C92" s="92"/>
      <c r="D92" s="92"/>
      <c r="E92" s="92"/>
      <c r="F92" s="92"/>
      <c r="G92" s="92"/>
      <c r="H92" s="92"/>
      <c r="I92" s="92"/>
      <c r="J92" s="92"/>
      <c r="K92" s="92"/>
      <c r="L92" s="92"/>
      <c r="M92" s="92"/>
      <c r="N92" s="92"/>
      <c r="O92" s="1"/>
      <c r="P92" s="1"/>
      <c r="Q92" s="1"/>
      <c r="R92" s="1"/>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row>
    <row r="93" spans="1:64" x14ac:dyDescent="0.25">
      <c r="A93" s="1"/>
      <c r="B93" s="92"/>
      <c r="C93" s="92"/>
      <c r="D93" s="92"/>
      <c r="E93" s="92"/>
      <c r="F93" s="92"/>
      <c r="G93" s="92"/>
      <c r="H93" s="92"/>
      <c r="I93" s="92"/>
      <c r="J93" s="92"/>
      <c r="K93" s="92"/>
      <c r="L93" s="92"/>
      <c r="M93" s="92"/>
      <c r="N93" s="92"/>
      <c r="O93" s="1"/>
      <c r="P93" s="1"/>
      <c r="Q93" s="1"/>
      <c r="R93" s="1"/>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row>
    <row r="94" spans="1:64" x14ac:dyDescent="0.25">
      <c r="A94" s="1"/>
      <c r="B94" s="92"/>
      <c r="C94" s="92"/>
      <c r="D94" s="92"/>
      <c r="E94" s="92"/>
      <c r="F94" s="92"/>
      <c r="G94" s="92"/>
      <c r="H94" s="92"/>
      <c r="I94" s="92"/>
      <c r="J94" s="92"/>
      <c r="K94" s="92"/>
      <c r="L94" s="92"/>
      <c r="M94" s="92"/>
      <c r="N94" s="92"/>
      <c r="O94" s="1"/>
      <c r="P94" s="1"/>
      <c r="Q94" s="1"/>
      <c r="R94" s="1"/>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row>
    <row r="95" spans="1:64" x14ac:dyDescent="0.25">
      <c r="A95" s="1"/>
      <c r="B95" s="92"/>
      <c r="C95" s="92"/>
      <c r="D95" s="92"/>
      <c r="E95" s="92"/>
      <c r="F95" s="92"/>
      <c r="G95" s="92"/>
      <c r="H95" s="92"/>
      <c r="I95" s="92"/>
      <c r="J95" s="92"/>
      <c r="K95" s="92"/>
      <c r="L95" s="92"/>
      <c r="M95" s="92"/>
      <c r="N95" s="92"/>
      <c r="O95" s="1"/>
      <c r="P95" s="1"/>
      <c r="Q95" s="1"/>
      <c r="R95" s="1"/>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row>
    <row r="96" spans="1:64" x14ac:dyDescent="0.25">
      <c r="A96" s="1"/>
      <c r="B96" s="92"/>
      <c r="C96" s="92"/>
      <c r="D96" s="92"/>
      <c r="E96" s="92"/>
      <c r="F96" s="92"/>
      <c r="G96" s="92"/>
      <c r="H96" s="92"/>
      <c r="I96" s="92"/>
      <c r="J96" s="92"/>
      <c r="K96" s="92"/>
      <c r="L96" s="92"/>
      <c r="M96" s="92"/>
      <c r="N96" s="92"/>
      <c r="O96" s="1"/>
      <c r="P96" s="1"/>
      <c r="Q96" s="1"/>
      <c r="R96" s="1"/>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row>
    <row r="97" spans="1:64" x14ac:dyDescent="0.25">
      <c r="A97" s="1"/>
      <c r="B97" s="92"/>
      <c r="C97" s="92"/>
      <c r="D97" s="92"/>
      <c r="E97" s="92"/>
      <c r="F97" s="92"/>
      <c r="G97" s="92"/>
      <c r="H97" s="92"/>
      <c r="I97" s="92"/>
      <c r="J97" s="92"/>
      <c r="K97" s="92"/>
      <c r="L97" s="92"/>
      <c r="M97" s="92"/>
      <c r="N97" s="92"/>
      <c r="O97" s="1"/>
      <c r="P97" s="1"/>
      <c r="Q97" s="1"/>
      <c r="R97" s="1"/>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row>
    <row r="98" spans="1:64" x14ac:dyDescent="0.25">
      <c r="A98" s="1"/>
      <c r="B98" s="92"/>
      <c r="C98" s="92"/>
      <c r="D98" s="92"/>
      <c r="E98" s="92"/>
      <c r="F98" s="92"/>
      <c r="G98" s="92"/>
      <c r="H98" s="92"/>
      <c r="I98" s="92"/>
      <c r="J98" s="92"/>
      <c r="K98" s="92"/>
      <c r="L98" s="92"/>
      <c r="M98" s="92"/>
      <c r="N98" s="92"/>
      <c r="O98" s="1"/>
      <c r="P98" s="1"/>
      <c r="Q98" s="1"/>
      <c r="R98" s="1"/>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row>
    <row r="99" spans="1:64" x14ac:dyDescent="0.25">
      <c r="A99" s="1"/>
      <c r="B99" s="92"/>
      <c r="C99" s="92"/>
      <c r="D99" s="92"/>
      <c r="E99" s="92"/>
      <c r="F99" s="92"/>
      <c r="G99" s="92"/>
      <c r="H99" s="92"/>
      <c r="I99" s="92"/>
      <c r="J99" s="92"/>
      <c r="K99" s="92"/>
      <c r="L99" s="92"/>
      <c r="M99" s="92"/>
      <c r="N99" s="92"/>
      <c r="O99" s="1"/>
      <c r="P99" s="1"/>
      <c r="Q99" s="1"/>
      <c r="R99" s="1"/>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row>
    <row r="100" spans="1:64" x14ac:dyDescent="0.25">
      <c r="A100" s="1"/>
      <c r="B100" s="92"/>
      <c r="C100" s="92"/>
      <c r="D100" s="92"/>
      <c r="E100" s="92"/>
      <c r="F100" s="92"/>
      <c r="G100" s="92"/>
      <c r="H100" s="92"/>
      <c r="I100" s="92"/>
      <c r="J100" s="92"/>
      <c r="K100" s="92"/>
      <c r="L100" s="92"/>
      <c r="M100" s="92"/>
      <c r="N100" s="92"/>
      <c r="O100" s="1"/>
      <c r="P100" s="1"/>
      <c r="Q100" s="1"/>
      <c r="R100" s="1"/>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row>
    <row r="101" spans="1:64" x14ac:dyDescent="0.25">
      <c r="A101" s="1"/>
      <c r="B101" s="92"/>
      <c r="C101" s="92"/>
      <c r="D101" s="92"/>
      <c r="E101" s="92"/>
      <c r="F101" s="92"/>
      <c r="G101" s="92"/>
      <c r="H101" s="92"/>
      <c r="I101" s="92"/>
      <c r="J101" s="92"/>
      <c r="K101" s="92"/>
      <c r="L101" s="92"/>
      <c r="M101" s="92"/>
      <c r="N101" s="92"/>
      <c r="O101" s="1"/>
      <c r="P101" s="1"/>
      <c r="Q101" s="1"/>
      <c r="R101" s="1"/>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row>
    <row r="102" spans="1:64" x14ac:dyDescent="0.25">
      <c r="A102" s="1"/>
      <c r="B102" s="92"/>
      <c r="C102" s="92"/>
      <c r="D102" s="92"/>
      <c r="E102" s="92"/>
      <c r="F102" s="92"/>
      <c r="G102" s="92"/>
      <c r="H102" s="92"/>
      <c r="I102" s="92"/>
      <c r="J102" s="92"/>
      <c r="K102" s="92"/>
      <c r="L102" s="92"/>
      <c r="M102" s="92"/>
      <c r="N102" s="92"/>
      <c r="O102" s="1"/>
      <c r="P102" s="1"/>
      <c r="Q102" s="1"/>
      <c r="R102" s="1"/>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row>
    <row r="103" spans="1:64" x14ac:dyDescent="0.25">
      <c r="A103" s="1"/>
      <c r="B103" s="92"/>
      <c r="C103" s="92"/>
      <c r="D103" s="92"/>
      <c r="E103" s="92"/>
      <c r="F103" s="92"/>
      <c r="G103" s="92"/>
      <c r="H103" s="92"/>
      <c r="I103" s="92"/>
      <c r="J103" s="92"/>
      <c r="K103" s="92"/>
      <c r="L103" s="92"/>
      <c r="M103" s="92"/>
      <c r="N103" s="92"/>
      <c r="O103" s="1"/>
      <c r="P103" s="1"/>
      <c r="Q103" s="1"/>
      <c r="R103" s="1"/>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row>
    <row r="104" spans="1:64" x14ac:dyDescent="0.25">
      <c r="A104" s="1"/>
      <c r="B104" s="92"/>
      <c r="C104" s="92"/>
      <c r="D104" s="92"/>
      <c r="E104" s="92"/>
      <c r="F104" s="92"/>
      <c r="G104" s="92"/>
      <c r="H104" s="92"/>
      <c r="I104" s="92"/>
      <c r="J104" s="92"/>
      <c r="K104" s="92"/>
      <c r="L104" s="92"/>
      <c r="M104" s="92"/>
      <c r="N104" s="92"/>
      <c r="O104" s="1"/>
      <c r="P104" s="1"/>
      <c r="Q104" s="1"/>
      <c r="R104" s="1"/>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row>
    <row r="105" spans="1:64" x14ac:dyDescent="0.25">
      <c r="A105" s="1"/>
      <c r="B105" s="92"/>
      <c r="C105" s="92"/>
      <c r="D105" s="92"/>
      <c r="E105" s="92"/>
      <c r="F105" s="92"/>
      <c r="G105" s="92"/>
      <c r="H105" s="92"/>
      <c r="I105" s="92"/>
      <c r="J105" s="92"/>
      <c r="K105" s="92"/>
      <c r="L105" s="92"/>
      <c r="M105" s="92"/>
      <c r="N105" s="92"/>
      <c r="O105" s="1"/>
      <c r="P105" s="1"/>
      <c r="Q105" s="1"/>
      <c r="R105" s="1"/>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row>
    <row r="106" spans="1:64" x14ac:dyDescent="0.25">
      <c r="A106" s="1"/>
      <c r="B106" s="92"/>
      <c r="C106" s="92"/>
      <c r="D106" s="92"/>
      <c r="E106" s="92"/>
      <c r="F106" s="92"/>
      <c r="G106" s="92"/>
      <c r="H106" s="92"/>
      <c r="I106" s="92"/>
      <c r="J106" s="92"/>
      <c r="K106" s="92"/>
      <c r="L106" s="92"/>
      <c r="M106" s="92"/>
      <c r="N106" s="92"/>
      <c r="O106" s="1"/>
      <c r="P106" s="1"/>
      <c r="Q106" s="1"/>
      <c r="R106" s="1"/>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row>
    <row r="107" spans="1:64" x14ac:dyDescent="0.25">
      <c r="A107" s="1"/>
      <c r="B107" s="92"/>
      <c r="C107" s="92"/>
      <c r="D107" s="92"/>
      <c r="E107" s="92"/>
      <c r="F107" s="92"/>
      <c r="G107" s="92"/>
      <c r="H107" s="92"/>
      <c r="I107" s="92"/>
      <c r="J107" s="92"/>
      <c r="K107" s="92"/>
      <c r="L107" s="92"/>
      <c r="M107" s="92"/>
      <c r="N107" s="92"/>
      <c r="O107" s="1"/>
      <c r="P107" s="1"/>
      <c r="Q107" s="1"/>
      <c r="R107" s="1"/>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row>
    <row r="108" spans="1:64" x14ac:dyDescent="0.25">
      <c r="A108" s="1"/>
      <c r="B108" s="92"/>
      <c r="C108" s="92"/>
      <c r="D108" s="92"/>
      <c r="E108" s="92"/>
      <c r="F108" s="92"/>
      <c r="G108" s="92"/>
      <c r="H108" s="92"/>
      <c r="I108" s="92"/>
      <c r="J108" s="92"/>
      <c r="K108" s="92"/>
      <c r="L108" s="92"/>
      <c r="M108" s="92"/>
      <c r="N108" s="92"/>
      <c r="O108" s="1"/>
      <c r="P108" s="1"/>
      <c r="Q108" s="1"/>
      <c r="R108" s="1"/>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row>
    <row r="109" spans="1:64" x14ac:dyDescent="0.25">
      <c r="A109" s="1"/>
      <c r="B109" s="92"/>
      <c r="C109" s="92"/>
      <c r="D109" s="92"/>
      <c r="E109" s="92"/>
      <c r="F109" s="92"/>
      <c r="G109" s="92"/>
      <c r="H109" s="92"/>
      <c r="I109" s="92"/>
      <c r="J109" s="92"/>
      <c r="K109" s="92"/>
      <c r="L109" s="92"/>
      <c r="M109" s="92"/>
      <c r="N109" s="92"/>
      <c r="O109" s="1"/>
      <c r="P109" s="1"/>
      <c r="Q109" s="1"/>
      <c r="R109" s="1"/>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row>
    <row r="110" spans="1:64" x14ac:dyDescent="0.25">
      <c r="A110" s="1"/>
      <c r="B110" s="92"/>
      <c r="C110" s="92"/>
      <c r="D110" s="92"/>
      <c r="E110" s="92"/>
      <c r="F110" s="92"/>
      <c r="G110" s="92"/>
      <c r="H110" s="92"/>
      <c r="I110" s="92"/>
      <c r="J110" s="92"/>
      <c r="K110" s="92"/>
      <c r="L110" s="92"/>
      <c r="M110" s="92"/>
      <c r="N110" s="92"/>
      <c r="O110" s="1"/>
      <c r="P110" s="1"/>
      <c r="Q110" s="1"/>
      <c r="R110" s="1"/>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row>
    <row r="111" spans="1:64" x14ac:dyDescent="0.25">
      <c r="A111" s="1"/>
      <c r="B111" s="92"/>
      <c r="C111" s="92"/>
      <c r="D111" s="92"/>
      <c r="E111" s="92"/>
      <c r="F111" s="92"/>
      <c r="G111" s="92"/>
      <c r="H111" s="92"/>
      <c r="I111" s="92"/>
      <c r="J111" s="92"/>
      <c r="K111" s="92"/>
      <c r="L111" s="92"/>
      <c r="M111" s="92"/>
      <c r="N111" s="92"/>
      <c r="O111" s="1"/>
      <c r="P111" s="1"/>
      <c r="Q111" s="1"/>
      <c r="R111" s="1"/>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row>
    <row r="112" spans="1:64" x14ac:dyDescent="0.25">
      <c r="A112" s="1"/>
      <c r="B112" s="92"/>
      <c r="C112" s="92"/>
      <c r="D112" s="92"/>
      <c r="E112" s="92"/>
      <c r="F112" s="92"/>
      <c r="G112" s="92"/>
      <c r="H112" s="92"/>
      <c r="I112" s="92"/>
      <c r="J112" s="92"/>
      <c r="K112" s="92"/>
      <c r="L112" s="92"/>
      <c r="M112" s="92"/>
      <c r="N112" s="92"/>
      <c r="O112" s="1"/>
      <c r="P112" s="1"/>
      <c r="Q112" s="1"/>
      <c r="R112" s="1"/>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row>
    <row r="113" spans="1:64" x14ac:dyDescent="0.25">
      <c r="A113" s="1"/>
      <c r="B113" s="92"/>
      <c r="C113" s="92"/>
      <c r="D113" s="92"/>
      <c r="E113" s="92"/>
      <c r="F113" s="92"/>
      <c r="G113" s="92"/>
      <c r="H113" s="92"/>
      <c r="I113" s="92"/>
      <c r="J113" s="92"/>
      <c r="K113" s="92"/>
      <c r="L113" s="92"/>
      <c r="M113" s="92"/>
      <c r="N113" s="92"/>
      <c r="O113" s="1"/>
      <c r="P113" s="1"/>
      <c r="Q113" s="1"/>
      <c r="R113" s="1"/>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row>
    <row r="114" spans="1:64" x14ac:dyDescent="0.25">
      <c r="A114" s="1"/>
      <c r="B114" s="92"/>
      <c r="C114" s="92"/>
      <c r="D114" s="92"/>
      <c r="E114" s="92"/>
      <c r="F114" s="92"/>
      <c r="G114" s="92"/>
      <c r="H114" s="92"/>
      <c r="I114" s="92"/>
      <c r="J114" s="92"/>
      <c r="K114" s="92"/>
      <c r="L114" s="92"/>
      <c r="M114" s="92"/>
      <c r="N114" s="92"/>
      <c r="O114" s="1"/>
      <c r="P114" s="1"/>
      <c r="Q114" s="1"/>
      <c r="R114" s="1"/>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row>
    <row r="115" spans="1:64" x14ac:dyDescent="0.25">
      <c r="A115" s="1"/>
      <c r="B115" s="92"/>
      <c r="C115" s="92"/>
      <c r="D115" s="92"/>
      <c r="E115" s="92"/>
      <c r="F115" s="92"/>
      <c r="G115" s="92"/>
      <c r="H115" s="92"/>
      <c r="I115" s="92"/>
      <c r="J115" s="92"/>
      <c r="K115" s="92"/>
      <c r="L115" s="92"/>
      <c r="M115" s="92"/>
      <c r="N115" s="92"/>
      <c r="O115" s="1"/>
      <c r="P115" s="1"/>
      <c r="Q115" s="1"/>
      <c r="R115" s="1"/>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row>
    <row r="116" spans="1:64" x14ac:dyDescent="0.25">
      <c r="A116" s="1"/>
      <c r="B116" s="92"/>
      <c r="C116" s="92"/>
      <c r="D116" s="92"/>
      <c r="E116" s="92"/>
      <c r="F116" s="92"/>
      <c r="G116" s="92"/>
      <c r="H116" s="92"/>
      <c r="I116" s="92"/>
      <c r="J116" s="92"/>
      <c r="K116" s="92"/>
      <c r="L116" s="92"/>
      <c r="M116" s="92"/>
      <c r="N116" s="92"/>
      <c r="O116" s="1"/>
      <c r="P116" s="1"/>
      <c r="Q116" s="1"/>
      <c r="R116" s="1"/>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row>
    <row r="117" spans="1:64" x14ac:dyDescent="0.25">
      <c r="A117" s="1"/>
      <c r="B117" s="92"/>
      <c r="C117" s="92"/>
      <c r="D117" s="92"/>
      <c r="E117" s="92"/>
      <c r="F117" s="92"/>
      <c r="G117" s="92"/>
      <c r="H117" s="92"/>
      <c r="I117" s="92"/>
      <c r="J117" s="92"/>
      <c r="K117" s="92"/>
      <c r="L117" s="92"/>
      <c r="M117" s="92"/>
      <c r="N117" s="92"/>
      <c r="O117" s="1"/>
      <c r="P117" s="1"/>
      <c r="Q117" s="1"/>
      <c r="R117" s="1"/>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row>
    <row r="118" spans="1:64" x14ac:dyDescent="0.25">
      <c r="A118" s="1"/>
      <c r="B118" s="92"/>
      <c r="C118" s="92"/>
      <c r="D118" s="92"/>
      <c r="E118" s="92"/>
      <c r="F118" s="92"/>
      <c r="G118" s="92"/>
      <c r="H118" s="92"/>
      <c r="I118" s="92"/>
      <c r="J118" s="92"/>
      <c r="K118" s="92"/>
      <c r="L118" s="92"/>
      <c r="M118" s="92"/>
      <c r="N118" s="92"/>
      <c r="O118" s="1"/>
      <c r="P118" s="1"/>
      <c r="Q118" s="1"/>
      <c r="R118" s="1"/>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row>
    <row r="119" spans="1:64" x14ac:dyDescent="0.25">
      <c r="A119" s="1"/>
      <c r="B119" s="92"/>
      <c r="C119" s="92"/>
      <c r="D119" s="92"/>
      <c r="E119" s="92"/>
      <c r="F119" s="92"/>
      <c r="G119" s="92"/>
      <c r="H119" s="92"/>
      <c r="I119" s="92"/>
      <c r="J119" s="92"/>
      <c r="K119" s="92"/>
      <c r="L119" s="92"/>
      <c r="M119" s="92"/>
      <c r="N119" s="92"/>
      <c r="O119" s="1"/>
      <c r="P119" s="1"/>
      <c r="Q119" s="1"/>
      <c r="R119" s="1"/>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row>
    <row r="120" spans="1:64" x14ac:dyDescent="0.25">
      <c r="A120" s="1"/>
      <c r="B120" s="92"/>
      <c r="C120" s="92"/>
      <c r="D120" s="92"/>
      <c r="E120" s="92"/>
      <c r="F120" s="92"/>
      <c r="G120" s="92"/>
      <c r="H120" s="92"/>
      <c r="I120" s="92"/>
      <c r="J120" s="92"/>
      <c r="K120" s="92"/>
      <c r="L120" s="92"/>
      <c r="M120" s="92"/>
      <c r="N120" s="92"/>
      <c r="O120" s="1"/>
      <c r="P120" s="1"/>
      <c r="Q120" s="1"/>
      <c r="R120" s="1"/>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row>
    <row r="121" spans="1:64" x14ac:dyDescent="0.25">
      <c r="A121" s="1"/>
      <c r="B121" s="92"/>
      <c r="C121" s="92"/>
      <c r="D121" s="92"/>
      <c r="E121" s="92"/>
      <c r="F121" s="92"/>
      <c r="G121" s="92"/>
      <c r="H121" s="92"/>
      <c r="I121" s="92"/>
      <c r="J121" s="92"/>
      <c r="K121" s="92"/>
      <c r="L121" s="92"/>
      <c r="M121" s="92"/>
      <c r="N121" s="92"/>
      <c r="O121" s="1"/>
      <c r="P121" s="1"/>
      <c r="Q121" s="1"/>
      <c r="R121" s="1"/>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row>
    <row r="122" spans="1:64" x14ac:dyDescent="0.25">
      <c r="A122" s="1"/>
      <c r="B122" s="92"/>
      <c r="C122" s="92"/>
      <c r="D122" s="92"/>
      <c r="E122" s="92"/>
      <c r="F122" s="92"/>
      <c r="G122" s="92"/>
      <c r="H122" s="92"/>
      <c r="I122" s="92"/>
      <c r="J122" s="92"/>
      <c r="K122" s="92"/>
      <c r="L122" s="92"/>
      <c r="M122" s="92"/>
      <c r="N122" s="92"/>
      <c r="O122" s="1"/>
      <c r="P122" s="1"/>
      <c r="Q122" s="1"/>
      <c r="R122" s="1"/>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row>
    <row r="123" spans="1:64" x14ac:dyDescent="0.25">
      <c r="A123" s="1"/>
      <c r="B123" s="92"/>
      <c r="C123" s="92"/>
      <c r="D123" s="92"/>
      <c r="E123" s="92"/>
      <c r="F123" s="92"/>
      <c r="G123" s="92"/>
      <c r="H123" s="92"/>
      <c r="I123" s="92"/>
      <c r="J123" s="92"/>
      <c r="K123" s="92"/>
      <c r="L123" s="92"/>
      <c r="M123" s="92"/>
      <c r="N123" s="92"/>
      <c r="O123" s="1"/>
      <c r="P123" s="1"/>
      <c r="Q123" s="1"/>
      <c r="R123" s="1"/>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row>
    <row r="124" spans="1:64" x14ac:dyDescent="0.25">
      <c r="A124" s="1"/>
      <c r="B124" s="92"/>
      <c r="C124" s="92"/>
      <c r="D124" s="92"/>
      <c r="E124" s="92"/>
      <c r="F124" s="92"/>
      <c r="G124" s="92"/>
      <c r="H124" s="92"/>
      <c r="I124" s="92"/>
      <c r="J124" s="92"/>
      <c r="K124" s="92"/>
      <c r="L124" s="92"/>
      <c r="M124" s="92"/>
      <c r="N124" s="92"/>
      <c r="O124" s="1"/>
      <c r="P124" s="1"/>
      <c r="Q124" s="1"/>
      <c r="R124" s="1"/>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row>
    <row r="125" spans="1:64" x14ac:dyDescent="0.25">
      <c r="A125" s="1"/>
      <c r="B125" s="92"/>
      <c r="C125" s="92"/>
      <c r="D125" s="92"/>
      <c r="E125" s="92"/>
      <c r="F125" s="92"/>
      <c r="G125" s="92"/>
      <c r="H125" s="92"/>
      <c r="I125" s="92"/>
      <c r="J125" s="92"/>
      <c r="K125" s="92"/>
      <c r="L125" s="92"/>
      <c r="M125" s="92"/>
      <c r="N125" s="92"/>
      <c r="O125" s="1"/>
      <c r="P125" s="1"/>
      <c r="Q125" s="1"/>
      <c r="R125" s="1"/>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row>
    <row r="126" spans="1:64" x14ac:dyDescent="0.25">
      <c r="A126" s="1"/>
      <c r="B126" s="92"/>
      <c r="C126" s="92"/>
      <c r="D126" s="92"/>
      <c r="E126" s="92"/>
      <c r="F126" s="92"/>
      <c r="G126" s="92"/>
      <c r="H126" s="92"/>
      <c r="I126" s="92"/>
      <c r="J126" s="92"/>
      <c r="K126" s="92"/>
      <c r="L126" s="92"/>
      <c r="M126" s="92"/>
      <c r="N126" s="92"/>
      <c r="O126" s="1"/>
      <c r="P126" s="1"/>
      <c r="Q126" s="1"/>
      <c r="R126" s="1"/>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row>
    <row r="127" spans="1:64" x14ac:dyDescent="0.25">
      <c r="A127" s="1"/>
      <c r="B127" s="92"/>
      <c r="C127" s="92"/>
      <c r="D127" s="92"/>
      <c r="E127" s="92"/>
      <c r="F127" s="92"/>
      <c r="G127" s="92"/>
      <c r="H127" s="92"/>
      <c r="I127" s="92"/>
      <c r="J127" s="92"/>
      <c r="K127" s="92"/>
      <c r="L127" s="92"/>
      <c r="M127" s="92"/>
      <c r="N127" s="92"/>
      <c r="O127" s="1"/>
      <c r="P127" s="1"/>
      <c r="Q127" s="1"/>
      <c r="R127" s="1"/>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row>
    <row r="128" spans="1:64" x14ac:dyDescent="0.25">
      <c r="A128" s="1"/>
      <c r="B128" s="92"/>
      <c r="C128" s="92"/>
      <c r="D128" s="92"/>
      <c r="E128" s="92"/>
      <c r="F128" s="92"/>
      <c r="G128" s="92"/>
      <c r="H128" s="92"/>
      <c r="I128" s="92"/>
      <c r="J128" s="92"/>
      <c r="K128" s="92"/>
      <c r="L128" s="92"/>
      <c r="M128" s="92"/>
      <c r="N128" s="92"/>
      <c r="O128" s="1"/>
      <c r="P128" s="1"/>
      <c r="Q128" s="1"/>
      <c r="R128" s="1"/>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row>
    <row r="129" spans="1:64" x14ac:dyDescent="0.25">
      <c r="A129" s="1"/>
      <c r="B129" s="92"/>
      <c r="C129" s="92"/>
      <c r="D129" s="92"/>
      <c r="E129" s="92"/>
      <c r="F129" s="92"/>
      <c r="G129" s="92"/>
      <c r="H129" s="92"/>
      <c r="I129" s="92"/>
      <c r="J129" s="92"/>
      <c r="K129" s="92"/>
      <c r="L129" s="92"/>
      <c r="M129" s="92"/>
      <c r="N129" s="92"/>
      <c r="O129" s="1"/>
      <c r="P129" s="1"/>
      <c r="Q129" s="1"/>
      <c r="R129" s="1"/>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row>
    <row r="130" spans="1:64" x14ac:dyDescent="0.25">
      <c r="A130" s="1"/>
      <c r="B130" s="92"/>
      <c r="C130" s="92"/>
      <c r="D130" s="92"/>
      <c r="E130" s="92"/>
      <c r="F130" s="92"/>
      <c r="G130" s="92"/>
      <c r="H130" s="92"/>
      <c r="I130" s="92"/>
      <c r="J130" s="92"/>
      <c r="K130" s="92"/>
      <c r="L130" s="92"/>
      <c r="M130" s="92"/>
      <c r="N130" s="92"/>
      <c r="O130" s="1"/>
      <c r="P130" s="1"/>
      <c r="Q130" s="1"/>
      <c r="R130" s="1"/>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row>
    <row r="131" spans="1:64" x14ac:dyDescent="0.25">
      <c r="A131" s="1"/>
      <c r="B131" s="92"/>
      <c r="C131" s="92"/>
      <c r="D131" s="92"/>
      <c r="E131" s="92"/>
      <c r="F131" s="92"/>
      <c r="G131" s="92"/>
      <c r="H131" s="92"/>
      <c r="I131" s="92"/>
      <c r="J131" s="92"/>
      <c r="K131" s="92"/>
      <c r="L131" s="92"/>
      <c r="M131" s="92"/>
      <c r="N131" s="92"/>
      <c r="O131" s="1"/>
      <c r="P131" s="1"/>
      <c r="Q131" s="1"/>
      <c r="R131" s="1"/>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row>
    <row r="132" spans="1:64" x14ac:dyDescent="0.25">
      <c r="A132" s="1"/>
      <c r="B132" s="92"/>
      <c r="C132" s="92"/>
      <c r="D132" s="92"/>
      <c r="E132" s="92"/>
      <c r="F132" s="92"/>
      <c r="G132" s="92"/>
      <c r="H132" s="92"/>
      <c r="I132" s="92"/>
      <c r="J132" s="92"/>
      <c r="K132" s="92"/>
      <c r="L132" s="92"/>
      <c r="M132" s="92"/>
      <c r="N132" s="92"/>
      <c r="O132" s="1"/>
      <c r="P132" s="1"/>
      <c r="Q132" s="1"/>
      <c r="R132" s="1"/>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row>
    <row r="133" spans="1:64" x14ac:dyDescent="0.25">
      <c r="A133" s="1"/>
      <c r="B133" s="92"/>
      <c r="C133" s="92"/>
      <c r="D133" s="92"/>
      <c r="E133" s="92"/>
      <c r="F133" s="92"/>
      <c r="G133" s="92"/>
      <c r="H133" s="92"/>
      <c r="I133" s="92"/>
      <c r="J133" s="92"/>
      <c r="K133" s="92"/>
      <c r="L133" s="92"/>
      <c r="M133" s="92"/>
      <c r="N133" s="92"/>
      <c r="O133" s="1"/>
      <c r="P133" s="1"/>
      <c r="Q133" s="1"/>
      <c r="R133" s="1"/>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row>
    <row r="134" spans="1:64" x14ac:dyDescent="0.25">
      <c r="A134" s="1"/>
      <c r="B134" s="92"/>
      <c r="C134" s="92"/>
      <c r="D134" s="92"/>
      <c r="E134" s="92"/>
      <c r="F134" s="92"/>
      <c r="G134" s="92"/>
      <c r="H134" s="92"/>
      <c r="I134" s="92"/>
      <c r="J134" s="92"/>
      <c r="K134" s="92"/>
      <c r="L134" s="92"/>
      <c r="M134" s="92"/>
      <c r="N134" s="92"/>
      <c r="O134" s="1"/>
      <c r="P134" s="1"/>
      <c r="Q134" s="1"/>
      <c r="R134" s="1"/>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row>
    <row r="135" spans="1:64" x14ac:dyDescent="0.25">
      <c r="A135" s="1"/>
      <c r="B135" s="92"/>
      <c r="C135" s="92"/>
      <c r="D135" s="92"/>
      <c r="E135" s="92"/>
      <c r="F135" s="92"/>
      <c r="G135" s="92"/>
      <c r="H135" s="92"/>
      <c r="I135" s="92"/>
      <c r="J135" s="92"/>
      <c r="K135" s="92"/>
      <c r="L135" s="92"/>
      <c r="M135" s="92"/>
      <c r="N135" s="92"/>
      <c r="O135" s="1"/>
      <c r="P135" s="1"/>
      <c r="Q135" s="1"/>
      <c r="R135" s="1"/>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row>
    <row r="136" spans="1:64" x14ac:dyDescent="0.25">
      <c r="A136" s="1"/>
      <c r="B136" s="92"/>
      <c r="C136" s="92"/>
      <c r="D136" s="92"/>
      <c r="E136" s="92"/>
      <c r="F136" s="92"/>
      <c r="G136" s="92"/>
      <c r="H136" s="92"/>
      <c r="I136" s="92"/>
      <c r="J136" s="92"/>
      <c r="K136" s="92"/>
      <c r="L136" s="92"/>
      <c r="M136" s="92"/>
      <c r="N136" s="92"/>
      <c r="O136" s="1"/>
      <c r="P136" s="1"/>
      <c r="Q136" s="1"/>
      <c r="R136" s="1"/>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row>
    <row r="137" spans="1:64" x14ac:dyDescent="0.25">
      <c r="A137" s="1"/>
      <c r="B137" s="92"/>
      <c r="C137" s="92"/>
      <c r="D137" s="92"/>
      <c r="E137" s="92"/>
      <c r="F137" s="92"/>
      <c r="G137" s="92"/>
      <c r="H137" s="92"/>
      <c r="I137" s="92"/>
      <c r="J137" s="92"/>
      <c r="K137" s="92"/>
      <c r="L137" s="92"/>
      <c r="M137" s="92"/>
      <c r="N137" s="92"/>
      <c r="O137" s="1"/>
      <c r="P137" s="1"/>
      <c r="Q137" s="1"/>
      <c r="R137" s="1"/>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row>
    <row r="138" spans="1:64" x14ac:dyDescent="0.25">
      <c r="A138" s="1"/>
      <c r="B138" s="92"/>
      <c r="C138" s="92"/>
      <c r="D138" s="92"/>
      <c r="E138" s="92"/>
      <c r="F138" s="92"/>
      <c r="G138" s="92"/>
      <c r="H138" s="92"/>
      <c r="I138" s="92"/>
      <c r="J138" s="92"/>
      <c r="K138" s="92"/>
      <c r="L138" s="92"/>
      <c r="M138" s="92"/>
      <c r="N138" s="92"/>
      <c r="O138" s="1"/>
      <c r="P138" s="1"/>
      <c r="Q138" s="1"/>
      <c r="R138" s="1"/>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row>
    <row r="139" spans="1:64" x14ac:dyDescent="0.25">
      <c r="A139" s="1"/>
      <c r="B139" s="92"/>
      <c r="C139" s="92"/>
      <c r="D139" s="92"/>
      <c r="E139" s="92"/>
      <c r="F139" s="92"/>
      <c r="G139" s="92"/>
      <c r="H139" s="92"/>
      <c r="I139" s="92"/>
      <c r="J139" s="92"/>
      <c r="K139" s="92"/>
      <c r="L139" s="92"/>
      <c r="M139" s="92"/>
      <c r="N139" s="92"/>
      <c r="O139" s="1"/>
      <c r="P139" s="1"/>
      <c r="Q139" s="1"/>
      <c r="R139" s="1"/>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row>
    <row r="140" spans="1:64" x14ac:dyDescent="0.25">
      <c r="A140" s="1"/>
      <c r="B140" s="92"/>
      <c r="C140" s="92"/>
      <c r="D140" s="92"/>
      <c r="E140" s="92"/>
      <c r="F140" s="92"/>
      <c r="G140" s="92"/>
      <c r="H140" s="92"/>
      <c r="I140" s="92"/>
      <c r="J140" s="92"/>
      <c r="K140" s="92"/>
      <c r="L140" s="92"/>
      <c r="M140" s="92"/>
      <c r="N140" s="92"/>
      <c r="O140" s="1"/>
      <c r="P140" s="1"/>
      <c r="Q140" s="1"/>
      <c r="R140" s="1"/>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row>
    <row r="141" spans="1:64" x14ac:dyDescent="0.25">
      <c r="A141" s="1"/>
      <c r="B141" s="92"/>
      <c r="C141" s="92"/>
      <c r="D141" s="92"/>
      <c r="E141" s="92"/>
      <c r="F141" s="92"/>
      <c r="G141" s="92"/>
      <c r="H141" s="92"/>
      <c r="I141" s="92"/>
      <c r="J141" s="92"/>
      <c r="K141" s="92"/>
      <c r="L141" s="92"/>
      <c r="M141" s="92"/>
      <c r="N141" s="92"/>
      <c r="O141" s="1"/>
      <c r="P141" s="1"/>
      <c r="Q141" s="1"/>
      <c r="R141" s="1"/>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row>
    <row r="142" spans="1:64" x14ac:dyDescent="0.25">
      <c r="A142" s="1"/>
      <c r="B142" s="92"/>
      <c r="C142" s="92"/>
      <c r="D142" s="92"/>
      <c r="E142" s="92"/>
      <c r="F142" s="92"/>
      <c r="G142" s="92"/>
      <c r="H142" s="92"/>
      <c r="I142" s="92"/>
      <c r="J142" s="92"/>
      <c r="K142" s="92"/>
      <c r="L142" s="92"/>
      <c r="M142" s="92"/>
      <c r="N142" s="92"/>
      <c r="O142" s="1"/>
      <c r="P142" s="1"/>
      <c r="Q142" s="1"/>
      <c r="R142" s="1"/>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row>
    <row r="143" spans="1:64" x14ac:dyDescent="0.25">
      <c r="A143" s="1"/>
      <c r="B143" s="92"/>
      <c r="C143" s="92"/>
      <c r="D143" s="92"/>
      <c r="E143" s="92"/>
      <c r="F143" s="92"/>
      <c r="G143" s="92"/>
      <c r="H143" s="92"/>
      <c r="I143" s="92"/>
      <c r="J143" s="92"/>
      <c r="K143" s="92"/>
      <c r="L143" s="92"/>
      <c r="M143" s="92"/>
      <c r="N143" s="92"/>
      <c r="O143" s="1"/>
      <c r="P143" s="1"/>
      <c r="Q143" s="1"/>
      <c r="R143" s="1"/>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row>
    <row r="144" spans="1:64" x14ac:dyDescent="0.25">
      <c r="A144" s="1"/>
      <c r="B144" s="92"/>
      <c r="C144" s="92"/>
      <c r="D144" s="92"/>
      <c r="E144" s="92"/>
      <c r="F144" s="92"/>
      <c r="G144" s="92"/>
      <c r="H144" s="92"/>
      <c r="I144" s="92"/>
      <c r="J144" s="92"/>
      <c r="K144" s="92"/>
      <c r="L144" s="92"/>
      <c r="M144" s="92"/>
      <c r="N144" s="92"/>
      <c r="O144" s="1"/>
      <c r="P144" s="1"/>
      <c r="Q144" s="1"/>
      <c r="R144" s="1"/>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row>
    <row r="145" spans="1:64" x14ac:dyDescent="0.25">
      <c r="A145" s="1"/>
      <c r="B145" s="92"/>
      <c r="C145" s="92"/>
      <c r="D145" s="92"/>
      <c r="E145" s="92"/>
      <c r="F145" s="92"/>
      <c r="G145" s="92"/>
      <c r="H145" s="92"/>
      <c r="I145" s="92"/>
      <c r="J145" s="92"/>
      <c r="K145" s="92"/>
      <c r="L145" s="92"/>
      <c r="M145" s="92"/>
      <c r="N145" s="92"/>
      <c r="O145" s="1"/>
      <c r="P145" s="1"/>
      <c r="Q145" s="1"/>
      <c r="R145" s="1"/>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row>
    <row r="146" spans="1:64" x14ac:dyDescent="0.25">
      <c r="A146" s="1"/>
      <c r="B146" s="92"/>
      <c r="C146" s="92"/>
      <c r="D146" s="92"/>
      <c r="E146" s="92"/>
      <c r="F146" s="92"/>
      <c r="G146" s="92"/>
      <c r="H146" s="92"/>
      <c r="I146" s="92"/>
      <c r="J146" s="92"/>
      <c r="K146" s="92"/>
      <c r="L146" s="92"/>
      <c r="M146" s="92"/>
      <c r="N146" s="92"/>
      <c r="O146" s="1"/>
      <c r="P146" s="1"/>
      <c r="Q146" s="1"/>
      <c r="R146" s="1"/>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row>
    <row r="147" spans="1:64" x14ac:dyDescent="0.25">
      <c r="A147" s="1"/>
      <c r="B147" s="92"/>
      <c r="C147" s="92"/>
      <c r="D147" s="92"/>
      <c r="E147" s="92"/>
      <c r="F147" s="92"/>
      <c r="G147" s="92"/>
      <c r="H147" s="92"/>
      <c r="I147" s="92"/>
      <c r="J147" s="92"/>
      <c r="K147" s="92"/>
      <c r="L147" s="92"/>
      <c r="M147" s="92"/>
      <c r="N147" s="92"/>
      <c r="O147" s="1"/>
      <c r="P147" s="1"/>
      <c r="Q147" s="1"/>
      <c r="R147" s="1"/>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row>
    <row r="148" spans="1:64" x14ac:dyDescent="0.25">
      <c r="A148" s="1"/>
      <c r="B148" s="92"/>
      <c r="C148" s="92"/>
      <c r="D148" s="92"/>
      <c r="E148" s="92"/>
      <c r="F148" s="92"/>
      <c r="G148" s="92"/>
      <c r="H148" s="92"/>
      <c r="I148" s="92"/>
      <c r="J148" s="92"/>
      <c r="K148" s="92"/>
      <c r="L148" s="92"/>
      <c r="M148" s="92"/>
      <c r="N148" s="92"/>
      <c r="O148" s="1"/>
      <c r="P148" s="1"/>
      <c r="Q148" s="1"/>
      <c r="R148" s="1"/>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row>
    <row r="149" spans="1:64" x14ac:dyDescent="0.25">
      <c r="A149" s="1"/>
      <c r="B149" s="92"/>
      <c r="C149" s="92"/>
      <c r="D149" s="92"/>
      <c r="E149" s="92"/>
      <c r="F149" s="92"/>
      <c r="G149" s="92"/>
      <c r="H149" s="92"/>
      <c r="I149" s="92"/>
      <c r="J149" s="92"/>
      <c r="K149" s="92"/>
      <c r="L149" s="92"/>
      <c r="M149" s="92"/>
      <c r="N149" s="92"/>
      <c r="O149" s="1"/>
      <c r="P149" s="1"/>
      <c r="Q149" s="1"/>
      <c r="R149" s="1"/>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row>
    <row r="150" spans="1:64" x14ac:dyDescent="0.25">
      <c r="A150" s="1"/>
      <c r="B150" s="92"/>
      <c r="C150" s="92"/>
      <c r="D150" s="92"/>
      <c r="E150" s="92"/>
      <c r="F150" s="92"/>
      <c r="G150" s="92"/>
      <c r="H150" s="92"/>
      <c r="I150" s="92"/>
      <c r="J150" s="92"/>
      <c r="K150" s="92"/>
      <c r="L150" s="92"/>
      <c r="M150" s="92"/>
      <c r="N150" s="92"/>
      <c r="O150" s="1"/>
      <c r="P150" s="1"/>
      <c r="Q150" s="1"/>
      <c r="R150" s="1"/>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row>
    <row r="151" spans="1:64" x14ac:dyDescent="0.25">
      <c r="A151" s="1"/>
      <c r="B151" s="92"/>
      <c r="C151" s="92"/>
      <c r="D151" s="92"/>
      <c r="E151" s="92"/>
      <c r="F151" s="92"/>
      <c r="G151" s="92"/>
      <c r="H151" s="92"/>
      <c r="I151" s="92"/>
      <c r="J151" s="92"/>
      <c r="K151" s="92"/>
      <c r="L151" s="92"/>
      <c r="M151" s="92"/>
      <c r="N151" s="92"/>
      <c r="O151" s="1"/>
      <c r="P151" s="1"/>
      <c r="Q151" s="1"/>
      <c r="R151" s="1"/>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row>
    <row r="152" spans="1:64" x14ac:dyDescent="0.25">
      <c r="A152" s="1"/>
      <c r="B152" s="92"/>
      <c r="C152" s="92"/>
      <c r="D152" s="92"/>
      <c r="E152" s="92"/>
      <c r="F152" s="92"/>
      <c r="G152" s="92"/>
      <c r="H152" s="92"/>
      <c r="I152" s="92"/>
      <c r="J152" s="92"/>
      <c r="K152" s="92"/>
      <c r="L152" s="92"/>
      <c r="M152" s="92"/>
      <c r="N152" s="92"/>
      <c r="O152" s="1"/>
      <c r="P152" s="1"/>
      <c r="Q152" s="1"/>
      <c r="R152" s="1"/>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row>
    <row r="153" spans="1:64" x14ac:dyDescent="0.25">
      <c r="A153" s="1"/>
      <c r="B153" s="92"/>
      <c r="C153" s="92"/>
      <c r="D153" s="92"/>
      <c r="E153" s="92"/>
      <c r="F153" s="92"/>
      <c r="G153" s="92"/>
      <c r="H153" s="92"/>
      <c r="I153" s="92"/>
      <c r="J153" s="92"/>
      <c r="K153" s="92"/>
      <c r="L153" s="92"/>
      <c r="M153" s="92"/>
      <c r="N153" s="92"/>
      <c r="O153" s="1"/>
      <c r="P153" s="1"/>
      <c r="Q153" s="1"/>
      <c r="R153" s="1"/>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row>
    <row r="154" spans="1:64" x14ac:dyDescent="0.25">
      <c r="A154" s="1"/>
      <c r="B154" s="92"/>
      <c r="C154" s="92"/>
      <c r="D154" s="92"/>
      <c r="E154" s="92"/>
      <c r="F154" s="92"/>
      <c r="G154" s="92"/>
      <c r="H154" s="92"/>
      <c r="I154" s="92"/>
      <c r="J154" s="92"/>
      <c r="K154" s="92"/>
      <c r="L154" s="92"/>
      <c r="M154" s="92"/>
      <c r="N154" s="92"/>
      <c r="O154" s="1"/>
      <c r="P154" s="1"/>
      <c r="Q154" s="1"/>
      <c r="R154" s="1"/>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row>
    <row r="155" spans="1:64" x14ac:dyDescent="0.25">
      <c r="A155" s="1"/>
      <c r="B155" s="92"/>
      <c r="C155" s="92"/>
      <c r="D155" s="92"/>
      <c r="E155" s="92"/>
      <c r="F155" s="92"/>
      <c r="G155" s="92"/>
      <c r="H155" s="92"/>
      <c r="I155" s="92"/>
      <c r="J155" s="92"/>
      <c r="K155" s="92"/>
      <c r="L155" s="92"/>
      <c r="M155" s="92"/>
      <c r="N155" s="92"/>
      <c r="O155" s="1"/>
      <c r="P155" s="1"/>
      <c r="Q155" s="1"/>
      <c r="R155" s="1"/>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row>
    <row r="156" spans="1:64" x14ac:dyDescent="0.25">
      <c r="A156" s="1"/>
      <c r="B156" s="92"/>
      <c r="C156" s="92"/>
      <c r="D156" s="92"/>
      <c r="E156" s="92"/>
      <c r="F156" s="92"/>
      <c r="G156" s="92"/>
      <c r="H156" s="92"/>
      <c r="I156" s="92"/>
      <c r="J156" s="92"/>
      <c r="K156" s="92"/>
      <c r="L156" s="92"/>
      <c r="M156" s="92"/>
      <c r="N156" s="92"/>
      <c r="O156" s="1"/>
      <c r="P156" s="1"/>
      <c r="Q156" s="1"/>
      <c r="R156" s="1"/>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row>
    <row r="157" spans="1:64" x14ac:dyDescent="0.25">
      <c r="A157" s="1"/>
      <c r="B157" s="92"/>
      <c r="C157" s="92"/>
      <c r="D157" s="92"/>
      <c r="E157" s="92"/>
      <c r="F157" s="92"/>
      <c r="G157" s="92"/>
      <c r="H157" s="92"/>
      <c r="I157" s="92"/>
      <c r="J157" s="92"/>
      <c r="K157" s="92"/>
      <c r="L157" s="92"/>
      <c r="M157" s="92"/>
      <c r="N157" s="92"/>
      <c r="O157" s="1"/>
      <c r="P157" s="1"/>
      <c r="Q157" s="1"/>
      <c r="R157" s="1"/>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row>
    <row r="158" spans="1:64" x14ac:dyDescent="0.25">
      <c r="A158" s="1"/>
      <c r="B158" s="92"/>
      <c r="C158" s="92"/>
      <c r="D158" s="92"/>
      <c r="E158" s="92"/>
      <c r="F158" s="92"/>
      <c r="G158" s="92"/>
      <c r="H158" s="92"/>
      <c r="I158" s="92"/>
      <c r="J158" s="92"/>
      <c r="K158" s="92"/>
      <c r="L158" s="92"/>
      <c r="M158" s="92"/>
      <c r="N158" s="92"/>
      <c r="O158" s="1"/>
      <c r="P158" s="1"/>
      <c r="Q158" s="1"/>
      <c r="R158" s="1"/>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row>
    <row r="159" spans="1:64" x14ac:dyDescent="0.25">
      <c r="A159" s="1"/>
      <c r="B159" s="92"/>
      <c r="C159" s="92"/>
      <c r="D159" s="92"/>
      <c r="E159" s="92"/>
      <c r="F159" s="92"/>
      <c r="G159" s="92"/>
      <c r="H159" s="92"/>
      <c r="I159" s="92"/>
      <c r="J159" s="92"/>
      <c r="K159" s="92"/>
      <c r="L159" s="92"/>
      <c r="M159" s="92"/>
      <c r="N159" s="92"/>
      <c r="O159" s="1"/>
      <c r="P159" s="1"/>
      <c r="Q159" s="1"/>
      <c r="R159" s="1"/>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row>
    <row r="160" spans="1:64" x14ac:dyDescent="0.25">
      <c r="A160" s="1"/>
      <c r="B160" s="92"/>
      <c r="C160" s="92"/>
      <c r="D160" s="92"/>
      <c r="E160" s="92"/>
      <c r="F160" s="92"/>
      <c r="G160" s="92"/>
      <c r="H160" s="92"/>
      <c r="I160" s="92"/>
      <c r="J160" s="92"/>
      <c r="K160" s="92"/>
      <c r="L160" s="92"/>
      <c r="M160" s="92"/>
      <c r="N160" s="92"/>
      <c r="O160" s="1"/>
      <c r="P160" s="1"/>
      <c r="Q160" s="1"/>
      <c r="R160" s="1"/>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row>
    <row r="161" spans="1:64" x14ac:dyDescent="0.25">
      <c r="A161" s="1"/>
      <c r="B161" s="92"/>
      <c r="C161" s="92"/>
      <c r="D161" s="92"/>
      <c r="E161" s="92"/>
      <c r="F161" s="92"/>
      <c r="G161" s="92"/>
      <c r="H161" s="92"/>
      <c r="I161" s="92"/>
      <c r="J161" s="92"/>
      <c r="K161" s="92"/>
      <c r="L161" s="92"/>
      <c r="M161" s="92"/>
      <c r="N161" s="92"/>
      <c r="O161" s="1"/>
      <c r="P161" s="1"/>
      <c r="Q161" s="1"/>
      <c r="R161" s="1"/>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row>
    <row r="162" spans="1:64" x14ac:dyDescent="0.25">
      <c r="A162" s="1"/>
      <c r="B162" s="92"/>
      <c r="C162" s="92"/>
      <c r="D162" s="92"/>
      <c r="E162" s="92"/>
      <c r="F162" s="92"/>
      <c r="G162" s="92"/>
      <c r="H162" s="92"/>
      <c r="I162" s="92"/>
      <c r="J162" s="92"/>
      <c r="K162" s="92"/>
      <c r="L162" s="92"/>
      <c r="M162" s="92"/>
      <c r="N162" s="92"/>
      <c r="O162" s="1"/>
      <c r="P162" s="1"/>
      <c r="Q162" s="1"/>
      <c r="R162" s="1"/>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row>
    <row r="163" spans="1:64" x14ac:dyDescent="0.25">
      <c r="A163" s="1"/>
      <c r="B163" s="92"/>
      <c r="C163" s="92"/>
      <c r="D163" s="92"/>
      <c r="E163" s="92"/>
      <c r="F163" s="92"/>
      <c r="G163" s="92"/>
      <c r="H163" s="92"/>
      <c r="I163" s="92"/>
      <c r="J163" s="92"/>
      <c r="K163" s="92"/>
      <c r="L163" s="92"/>
      <c r="M163" s="92"/>
      <c r="N163" s="92"/>
      <c r="O163" s="1"/>
      <c r="P163" s="1"/>
      <c r="Q163" s="1"/>
      <c r="R163" s="1"/>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row>
    <row r="164" spans="1:64" x14ac:dyDescent="0.25">
      <c r="A164" s="1"/>
      <c r="B164" s="92"/>
      <c r="C164" s="92"/>
      <c r="D164" s="92"/>
      <c r="E164" s="92"/>
      <c r="F164" s="92"/>
      <c r="G164" s="92"/>
      <c r="H164" s="92"/>
      <c r="I164" s="92"/>
      <c r="J164" s="92"/>
      <c r="K164" s="92"/>
      <c r="L164" s="92"/>
      <c r="M164" s="92"/>
      <c r="N164" s="92"/>
      <c r="O164" s="1"/>
      <c r="P164" s="1"/>
      <c r="Q164" s="1"/>
      <c r="R164" s="1"/>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row>
    <row r="165" spans="1:64" x14ac:dyDescent="0.25">
      <c r="A165" s="1"/>
      <c r="B165" s="92"/>
      <c r="C165" s="92"/>
      <c r="D165" s="92"/>
      <c r="E165" s="92"/>
      <c r="F165" s="92"/>
      <c r="G165" s="92"/>
      <c r="H165" s="92"/>
      <c r="I165" s="92"/>
      <c r="J165" s="92"/>
      <c r="K165" s="92"/>
      <c r="L165" s="92"/>
      <c r="M165" s="92"/>
      <c r="N165" s="92"/>
      <c r="O165" s="1"/>
      <c r="P165" s="1"/>
      <c r="Q165" s="1"/>
      <c r="R165" s="1"/>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row>
    <row r="166" spans="1:64" x14ac:dyDescent="0.25">
      <c r="A166" s="1"/>
      <c r="B166" s="92"/>
      <c r="C166" s="92"/>
      <c r="D166" s="92"/>
      <c r="E166" s="92"/>
      <c r="F166" s="92"/>
      <c r="G166" s="92"/>
      <c r="H166" s="92"/>
      <c r="I166" s="92"/>
      <c r="J166" s="92"/>
      <c r="K166" s="92"/>
      <c r="L166" s="92"/>
      <c r="M166" s="92"/>
      <c r="N166" s="92"/>
      <c r="O166" s="1"/>
      <c r="P166" s="1"/>
      <c r="Q166" s="1"/>
      <c r="R166" s="1"/>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row>
    <row r="167" spans="1:64" x14ac:dyDescent="0.25">
      <c r="A167" s="1"/>
      <c r="B167" s="92"/>
      <c r="C167" s="92"/>
      <c r="D167" s="92"/>
      <c r="E167" s="92"/>
      <c r="F167" s="92"/>
      <c r="G167" s="92"/>
      <c r="H167" s="92"/>
      <c r="I167" s="92"/>
      <c r="J167" s="92"/>
      <c r="K167" s="92"/>
      <c r="L167" s="92"/>
      <c r="M167" s="92"/>
      <c r="N167" s="92"/>
      <c r="O167" s="1"/>
      <c r="P167" s="1"/>
      <c r="Q167" s="1"/>
      <c r="R167" s="1"/>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row>
    <row r="168" spans="1:64" x14ac:dyDescent="0.25">
      <c r="A168" s="1"/>
      <c r="B168" s="92"/>
      <c r="C168" s="92"/>
      <c r="D168" s="92"/>
      <c r="E168" s="92"/>
      <c r="F168" s="92"/>
      <c r="G168" s="92"/>
      <c r="H168" s="92"/>
      <c r="I168" s="92"/>
      <c r="J168" s="92"/>
      <c r="K168" s="92"/>
      <c r="L168" s="92"/>
      <c r="M168" s="92"/>
      <c r="N168" s="92"/>
      <c r="O168" s="1"/>
      <c r="P168" s="1"/>
      <c r="Q168" s="1"/>
      <c r="R168" s="1"/>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row>
    <row r="169" spans="1:64" x14ac:dyDescent="0.25">
      <c r="A169" s="1"/>
      <c r="B169" s="92"/>
      <c r="C169" s="92"/>
      <c r="D169" s="92"/>
      <c r="E169" s="92"/>
      <c r="F169" s="92"/>
      <c r="G169" s="92"/>
      <c r="H169" s="92"/>
      <c r="I169" s="92"/>
      <c r="J169" s="92"/>
      <c r="K169" s="92"/>
      <c r="L169" s="92"/>
      <c r="M169" s="92"/>
      <c r="N169" s="92"/>
      <c r="O169" s="1"/>
      <c r="P169" s="1"/>
      <c r="Q169" s="1"/>
      <c r="R169" s="1"/>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row>
    <row r="170" spans="1:64" x14ac:dyDescent="0.25">
      <c r="A170" s="1"/>
      <c r="B170" s="92"/>
      <c r="C170" s="92"/>
      <c r="D170" s="92"/>
      <c r="E170" s="92"/>
      <c r="F170" s="92"/>
      <c r="G170" s="92"/>
      <c r="H170" s="92"/>
      <c r="I170" s="92"/>
      <c r="J170" s="92"/>
      <c r="K170" s="92"/>
      <c r="L170" s="92"/>
      <c r="M170" s="92"/>
      <c r="N170" s="92"/>
      <c r="O170" s="1"/>
      <c r="P170" s="1"/>
      <c r="Q170" s="1"/>
      <c r="R170" s="1"/>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row>
    <row r="171" spans="1:64" x14ac:dyDescent="0.25">
      <c r="A171" s="1"/>
      <c r="B171" s="92"/>
      <c r="C171" s="92"/>
      <c r="D171" s="92"/>
      <c r="E171" s="92"/>
      <c r="F171" s="92"/>
      <c r="G171" s="92"/>
      <c r="H171" s="92"/>
      <c r="I171" s="92"/>
      <c r="J171" s="92"/>
      <c r="K171" s="92"/>
      <c r="L171" s="92"/>
      <c r="M171" s="92"/>
      <c r="N171" s="92"/>
      <c r="O171" s="1"/>
      <c r="P171" s="1"/>
      <c r="Q171" s="1"/>
      <c r="R171" s="1"/>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row>
    <row r="172" spans="1:64" x14ac:dyDescent="0.25">
      <c r="A172" s="1"/>
      <c r="B172" s="92"/>
      <c r="C172" s="92"/>
      <c r="D172" s="92"/>
      <c r="E172" s="92"/>
      <c r="F172" s="92"/>
      <c r="G172" s="92"/>
      <c r="H172" s="92"/>
      <c r="I172" s="92"/>
      <c r="J172" s="92"/>
      <c r="K172" s="92"/>
      <c r="L172" s="92"/>
      <c r="M172" s="92"/>
      <c r="N172" s="92"/>
      <c r="O172" s="1"/>
      <c r="P172" s="1"/>
      <c r="Q172" s="1"/>
      <c r="R172" s="1"/>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row>
    <row r="173" spans="1:64" x14ac:dyDescent="0.25">
      <c r="A173" s="1"/>
      <c r="B173" s="92"/>
      <c r="C173" s="92"/>
      <c r="D173" s="92"/>
      <c r="E173" s="92"/>
      <c r="F173" s="92"/>
      <c r="G173" s="92"/>
      <c r="H173" s="92"/>
      <c r="I173" s="92"/>
      <c r="J173" s="92"/>
      <c r="K173" s="92"/>
      <c r="L173" s="92"/>
      <c r="M173" s="92"/>
      <c r="N173" s="92"/>
      <c r="O173" s="1"/>
      <c r="P173" s="1"/>
      <c r="Q173" s="1"/>
      <c r="R173" s="1"/>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row>
    <row r="174" spans="1:64" x14ac:dyDescent="0.25">
      <c r="A174" s="1"/>
      <c r="B174" s="92"/>
      <c r="C174" s="92"/>
      <c r="D174" s="92"/>
      <c r="E174" s="92"/>
      <c r="F174" s="92"/>
      <c r="G174" s="92"/>
      <c r="H174" s="92"/>
      <c r="I174" s="92"/>
      <c r="J174" s="92"/>
      <c r="K174" s="92"/>
      <c r="L174" s="92"/>
      <c r="M174" s="92"/>
      <c r="N174" s="92"/>
      <c r="O174" s="1"/>
      <c r="P174" s="1"/>
      <c r="Q174" s="1"/>
      <c r="R174" s="1"/>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row>
    <row r="175" spans="1:64" x14ac:dyDescent="0.25">
      <c r="A175" s="1"/>
      <c r="B175" s="92"/>
      <c r="C175" s="92"/>
      <c r="D175" s="92"/>
      <c r="E175" s="92"/>
      <c r="F175" s="92"/>
      <c r="G175" s="92"/>
      <c r="H175" s="92"/>
      <c r="I175" s="92"/>
      <c r="J175" s="92"/>
      <c r="K175" s="92"/>
      <c r="L175" s="92"/>
      <c r="M175" s="92"/>
      <c r="N175" s="92"/>
      <c r="O175" s="1"/>
      <c r="P175" s="1"/>
      <c r="Q175" s="1"/>
      <c r="R175" s="1"/>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row>
    <row r="176" spans="1:64" x14ac:dyDescent="0.25">
      <c r="A176" s="1"/>
      <c r="B176" s="92"/>
      <c r="C176" s="92"/>
      <c r="D176" s="92"/>
      <c r="E176" s="92"/>
      <c r="F176" s="92"/>
      <c r="G176" s="92"/>
      <c r="H176" s="92"/>
      <c r="I176" s="92"/>
      <c r="J176" s="92"/>
      <c r="K176" s="92"/>
      <c r="L176" s="92"/>
      <c r="M176" s="92"/>
      <c r="N176" s="92"/>
      <c r="O176" s="1"/>
      <c r="P176" s="1"/>
      <c r="Q176" s="1"/>
      <c r="R176" s="1"/>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row>
    <row r="177" spans="1:64" x14ac:dyDescent="0.25">
      <c r="A177" s="1"/>
      <c r="B177" s="92"/>
      <c r="C177" s="92"/>
      <c r="D177" s="92"/>
      <c r="E177" s="92"/>
      <c r="F177" s="92"/>
      <c r="G177" s="92"/>
      <c r="H177" s="92"/>
      <c r="I177" s="92"/>
      <c r="J177" s="92"/>
      <c r="K177" s="92"/>
      <c r="L177" s="92"/>
      <c r="M177" s="92"/>
      <c r="N177" s="92"/>
      <c r="O177" s="1"/>
      <c r="P177" s="1"/>
      <c r="Q177" s="1"/>
      <c r="R177" s="1"/>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row>
    <row r="178" spans="1:64" x14ac:dyDescent="0.25">
      <c r="A178" s="1"/>
      <c r="B178" s="92"/>
      <c r="C178" s="92"/>
      <c r="D178" s="92"/>
      <c r="E178" s="92"/>
      <c r="F178" s="92"/>
      <c r="G178" s="92"/>
      <c r="H178" s="92"/>
      <c r="I178" s="92"/>
      <c r="J178" s="92"/>
      <c r="K178" s="92"/>
      <c r="L178" s="92"/>
      <c r="M178" s="92"/>
      <c r="N178" s="92"/>
      <c r="O178" s="1"/>
      <c r="P178" s="1"/>
      <c r="Q178" s="1"/>
      <c r="R178" s="1"/>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row>
    <row r="179" spans="1:64" x14ac:dyDescent="0.25">
      <c r="A179" s="1"/>
      <c r="B179" s="92"/>
      <c r="C179" s="92"/>
      <c r="D179" s="92"/>
      <c r="E179" s="92"/>
      <c r="F179" s="92"/>
      <c r="G179" s="92"/>
      <c r="H179" s="92"/>
      <c r="I179" s="92"/>
      <c r="J179" s="92"/>
      <c r="K179" s="92"/>
      <c r="L179" s="92"/>
      <c r="M179" s="92"/>
      <c r="N179" s="92"/>
      <c r="O179" s="1"/>
      <c r="P179" s="1"/>
      <c r="Q179" s="1"/>
      <c r="R179" s="1"/>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row>
    <row r="180" spans="1:64" x14ac:dyDescent="0.25">
      <c r="A180" s="1"/>
      <c r="B180" s="92"/>
      <c r="C180" s="92"/>
      <c r="D180" s="92"/>
      <c r="E180" s="92"/>
      <c r="F180" s="92"/>
      <c r="G180" s="92"/>
      <c r="H180" s="92"/>
      <c r="I180" s="92"/>
      <c r="J180" s="92"/>
      <c r="K180" s="92"/>
      <c r="L180" s="92"/>
      <c r="M180" s="92"/>
      <c r="N180" s="92"/>
      <c r="O180" s="1"/>
      <c r="P180" s="1"/>
      <c r="Q180" s="1"/>
      <c r="R180" s="1"/>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row>
    <row r="181" spans="1:64" x14ac:dyDescent="0.25">
      <c r="A181" s="1"/>
      <c r="B181" s="92"/>
      <c r="C181" s="92"/>
      <c r="D181" s="92"/>
      <c r="E181" s="92"/>
      <c r="F181" s="92"/>
      <c r="G181" s="92"/>
      <c r="H181" s="92"/>
      <c r="I181" s="92"/>
      <c r="J181" s="92"/>
      <c r="K181" s="92"/>
      <c r="L181" s="92"/>
      <c r="M181" s="92"/>
      <c r="N181" s="92"/>
      <c r="O181" s="1"/>
      <c r="P181" s="1"/>
      <c r="Q181" s="1"/>
      <c r="R181" s="1"/>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row>
    <row r="182" spans="1:64" x14ac:dyDescent="0.25">
      <c r="A182" s="1"/>
      <c r="B182" s="92"/>
      <c r="C182" s="92"/>
      <c r="D182" s="92"/>
      <c r="E182" s="92"/>
      <c r="F182" s="92"/>
      <c r="G182" s="92"/>
      <c r="H182" s="92"/>
      <c r="I182" s="92"/>
      <c r="J182" s="92"/>
      <c r="K182" s="92"/>
      <c r="L182" s="92"/>
      <c r="M182" s="92"/>
      <c r="N182" s="92"/>
      <c r="O182" s="1"/>
      <c r="P182" s="1"/>
      <c r="Q182" s="1"/>
      <c r="R182" s="1"/>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row>
    <row r="183" spans="1:64" x14ac:dyDescent="0.25">
      <c r="A183" s="1"/>
      <c r="B183" s="92"/>
      <c r="C183" s="92"/>
      <c r="D183" s="92"/>
      <c r="E183" s="92"/>
      <c r="F183" s="92"/>
      <c r="G183" s="92"/>
      <c r="H183" s="92"/>
      <c r="I183" s="92"/>
      <c r="J183" s="92"/>
      <c r="K183" s="92"/>
      <c r="L183" s="92"/>
      <c r="M183" s="92"/>
      <c r="N183" s="92"/>
      <c r="O183" s="1"/>
      <c r="P183" s="1"/>
      <c r="Q183" s="1"/>
      <c r="R183" s="1"/>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row>
    <row r="184" spans="1:64" x14ac:dyDescent="0.25">
      <c r="A184" s="1"/>
      <c r="B184" s="92"/>
      <c r="C184" s="92"/>
      <c r="D184" s="92"/>
      <c r="E184" s="92"/>
      <c r="F184" s="92"/>
      <c r="G184" s="92"/>
      <c r="H184" s="92"/>
      <c r="I184" s="92"/>
      <c r="J184" s="92"/>
      <c r="K184" s="92"/>
      <c r="L184" s="92"/>
      <c r="M184" s="92"/>
      <c r="N184" s="92"/>
      <c r="O184" s="1"/>
      <c r="P184" s="1"/>
      <c r="Q184" s="1"/>
      <c r="R184" s="1"/>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row>
    <row r="185" spans="1:64" x14ac:dyDescent="0.25">
      <c r="A185" s="1"/>
      <c r="B185" s="92"/>
      <c r="C185" s="92"/>
      <c r="D185" s="92"/>
      <c r="E185" s="92"/>
      <c r="F185" s="92"/>
      <c r="G185" s="92"/>
      <c r="H185" s="92"/>
      <c r="I185" s="92"/>
      <c r="J185" s="92"/>
      <c r="K185" s="92"/>
      <c r="L185" s="92"/>
      <c r="M185" s="92"/>
      <c r="N185" s="92"/>
      <c r="O185" s="1"/>
      <c r="P185" s="1"/>
      <c r="Q185" s="1"/>
      <c r="R185" s="1"/>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row>
    <row r="186" spans="1:64" x14ac:dyDescent="0.25">
      <c r="A186" s="1"/>
      <c r="B186" s="92"/>
      <c r="C186" s="92"/>
      <c r="D186" s="92"/>
      <c r="E186" s="92"/>
      <c r="F186" s="92"/>
      <c r="G186" s="92"/>
      <c r="H186" s="92"/>
      <c r="I186" s="92"/>
      <c r="J186" s="92"/>
      <c r="K186" s="92"/>
      <c r="L186" s="92"/>
      <c r="M186" s="92"/>
      <c r="N186" s="92"/>
      <c r="O186" s="1"/>
      <c r="P186" s="1"/>
      <c r="Q186" s="1"/>
      <c r="R186" s="1"/>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row>
    <row r="187" spans="1:64" x14ac:dyDescent="0.25">
      <c r="A187" s="1"/>
      <c r="B187" s="92"/>
      <c r="C187" s="92"/>
      <c r="D187" s="92"/>
      <c r="E187" s="92"/>
      <c r="F187" s="92"/>
      <c r="G187" s="92"/>
      <c r="H187" s="92"/>
      <c r="I187" s="92"/>
      <c r="J187" s="92"/>
      <c r="K187" s="92"/>
      <c r="L187" s="92"/>
      <c r="M187" s="92"/>
      <c r="N187" s="92"/>
      <c r="O187" s="1"/>
      <c r="P187" s="1"/>
      <c r="Q187" s="1"/>
      <c r="R187" s="1"/>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row>
    <row r="188" spans="1:64" x14ac:dyDescent="0.25">
      <c r="A188" s="1"/>
      <c r="B188" s="92"/>
      <c r="C188" s="92"/>
      <c r="D188" s="92"/>
      <c r="E188" s="92"/>
      <c r="F188" s="92"/>
      <c r="G188" s="92"/>
      <c r="H188" s="92"/>
      <c r="I188" s="92"/>
      <c r="J188" s="92"/>
      <c r="K188" s="92"/>
      <c r="L188" s="92"/>
      <c r="M188" s="92"/>
      <c r="N188" s="92"/>
      <c r="O188" s="1"/>
      <c r="P188" s="1"/>
      <c r="Q188" s="1"/>
      <c r="R188" s="1"/>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row>
    <row r="189" spans="1:64" x14ac:dyDescent="0.25">
      <c r="A189" s="1"/>
      <c r="B189" s="92"/>
      <c r="C189" s="92"/>
      <c r="D189" s="92"/>
      <c r="E189" s="92"/>
      <c r="F189" s="92"/>
      <c r="G189" s="92"/>
      <c r="H189" s="92"/>
      <c r="I189" s="92"/>
      <c r="J189" s="92"/>
      <c r="K189" s="92"/>
      <c r="L189" s="92"/>
      <c r="M189" s="92"/>
      <c r="N189" s="92"/>
      <c r="O189" s="1"/>
      <c r="P189" s="1"/>
      <c r="Q189" s="1"/>
      <c r="R189" s="1"/>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row>
    <row r="190" spans="1:64" x14ac:dyDescent="0.25">
      <c r="A190" s="1"/>
      <c r="B190" s="92"/>
      <c r="C190" s="92"/>
      <c r="D190" s="92"/>
      <c r="E190" s="92"/>
      <c r="F190" s="92"/>
      <c r="G190" s="92"/>
      <c r="H190" s="92"/>
      <c r="I190" s="92"/>
      <c r="J190" s="92"/>
      <c r="K190" s="92"/>
      <c r="L190" s="92"/>
      <c r="M190" s="92"/>
      <c r="N190" s="92"/>
      <c r="O190" s="1"/>
      <c r="P190" s="1"/>
      <c r="Q190" s="1"/>
      <c r="R190" s="1"/>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row>
    <row r="191" spans="1:64" x14ac:dyDescent="0.25">
      <c r="A191" s="1"/>
      <c r="B191" s="92"/>
      <c r="C191" s="92"/>
      <c r="D191" s="92"/>
      <c r="E191" s="92"/>
      <c r="F191" s="92"/>
      <c r="G191" s="92"/>
      <c r="H191" s="92"/>
      <c r="I191" s="92"/>
      <c r="J191" s="92"/>
      <c r="K191" s="92"/>
      <c r="L191" s="92"/>
      <c r="M191" s="92"/>
      <c r="N191" s="92"/>
      <c r="O191" s="1"/>
      <c r="P191" s="1"/>
      <c r="Q191" s="1"/>
      <c r="R191" s="1"/>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row>
    <row r="192" spans="1:64" x14ac:dyDescent="0.25">
      <c r="A192" s="1"/>
      <c r="B192" s="92"/>
      <c r="C192" s="92"/>
      <c r="D192" s="92"/>
      <c r="E192" s="92"/>
      <c r="F192" s="92"/>
      <c r="G192" s="92"/>
      <c r="H192" s="92"/>
      <c r="I192" s="92"/>
      <c r="J192" s="92"/>
      <c r="K192" s="92"/>
      <c r="L192" s="92"/>
      <c r="M192" s="92"/>
      <c r="N192" s="92"/>
      <c r="O192" s="1"/>
      <c r="P192" s="1"/>
      <c r="Q192" s="1"/>
      <c r="R192" s="1"/>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row>
    <row r="193" spans="1:64" x14ac:dyDescent="0.25">
      <c r="A193" s="1"/>
      <c r="B193" s="92"/>
      <c r="C193" s="92"/>
      <c r="D193" s="92"/>
      <c r="E193" s="92"/>
      <c r="F193" s="92"/>
      <c r="G193" s="92"/>
      <c r="H193" s="92"/>
      <c r="I193" s="92"/>
      <c r="J193" s="92"/>
      <c r="K193" s="92"/>
      <c r="L193" s="92"/>
      <c r="M193" s="92"/>
      <c r="N193" s="92"/>
      <c r="O193" s="1"/>
      <c r="P193" s="1"/>
      <c r="Q193" s="1"/>
      <c r="R193" s="1"/>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row>
    <row r="194" spans="1:64" x14ac:dyDescent="0.25">
      <c r="A194" s="1"/>
      <c r="B194" s="92"/>
      <c r="C194" s="92"/>
      <c r="D194" s="92"/>
      <c r="E194" s="92"/>
      <c r="F194" s="92"/>
      <c r="G194" s="92"/>
      <c r="H194" s="92"/>
      <c r="I194" s="92"/>
      <c r="J194" s="92"/>
      <c r="K194" s="92"/>
      <c r="L194" s="92"/>
      <c r="M194" s="92"/>
      <c r="N194" s="92"/>
      <c r="O194" s="1"/>
      <c r="P194" s="1"/>
      <c r="Q194" s="1"/>
      <c r="R194" s="1"/>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row>
    <row r="195" spans="1:64" x14ac:dyDescent="0.25">
      <c r="A195" s="1"/>
      <c r="B195" s="92"/>
      <c r="C195" s="92"/>
      <c r="D195" s="92"/>
      <c r="E195" s="92"/>
      <c r="F195" s="92"/>
      <c r="G195" s="92"/>
      <c r="H195" s="92"/>
      <c r="I195" s="92"/>
      <c r="J195" s="92"/>
      <c r="K195" s="92"/>
      <c r="L195" s="92"/>
      <c r="M195" s="92"/>
      <c r="N195" s="92"/>
      <c r="O195" s="1"/>
      <c r="P195" s="1"/>
      <c r="Q195" s="1"/>
      <c r="R195" s="1"/>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row>
    <row r="196" spans="1:64" x14ac:dyDescent="0.25">
      <c r="A196" s="1"/>
      <c r="B196" s="92"/>
      <c r="C196" s="92"/>
      <c r="D196" s="92"/>
      <c r="E196" s="92"/>
      <c r="F196" s="92"/>
      <c r="G196" s="92"/>
      <c r="H196" s="92"/>
      <c r="I196" s="92"/>
      <c r="J196" s="92"/>
      <c r="K196" s="92"/>
      <c r="L196" s="92"/>
      <c r="M196" s="92"/>
      <c r="N196" s="92"/>
      <c r="O196" s="1"/>
      <c r="P196" s="1"/>
      <c r="Q196" s="1"/>
      <c r="R196" s="1"/>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row>
    <row r="197" spans="1:64" x14ac:dyDescent="0.25">
      <c r="A197" s="1"/>
      <c r="B197" s="92"/>
      <c r="C197" s="92"/>
      <c r="D197" s="92"/>
      <c r="E197" s="92"/>
      <c r="F197" s="92"/>
      <c r="G197" s="92"/>
      <c r="H197" s="92"/>
      <c r="I197" s="92"/>
      <c r="J197" s="92"/>
      <c r="K197" s="92"/>
      <c r="L197" s="92"/>
      <c r="M197" s="92"/>
      <c r="N197" s="92"/>
      <c r="O197" s="1"/>
      <c r="P197" s="1"/>
      <c r="Q197" s="1"/>
      <c r="R197" s="1"/>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row>
    <row r="198" spans="1:64" x14ac:dyDescent="0.25">
      <c r="A198" s="1"/>
      <c r="B198" s="92"/>
      <c r="C198" s="92"/>
      <c r="D198" s="92"/>
      <c r="E198" s="92"/>
      <c r="F198" s="92"/>
      <c r="G198" s="92"/>
      <c r="H198" s="92"/>
      <c r="I198" s="92"/>
      <c r="J198" s="92"/>
      <c r="K198" s="92"/>
      <c r="L198" s="92"/>
      <c r="M198" s="92"/>
      <c r="N198" s="92"/>
      <c r="O198" s="1"/>
      <c r="P198" s="1"/>
      <c r="Q198" s="1"/>
      <c r="R198" s="1"/>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row>
    <row r="199" spans="1:64" x14ac:dyDescent="0.25">
      <c r="A199" s="1"/>
      <c r="B199" s="92"/>
      <c r="C199" s="92"/>
      <c r="D199" s="92"/>
      <c r="E199" s="92"/>
      <c r="F199" s="92"/>
      <c r="G199" s="92"/>
      <c r="H199" s="92"/>
      <c r="I199" s="92"/>
      <c r="J199" s="92"/>
      <c r="K199" s="92"/>
      <c r="L199" s="92"/>
      <c r="M199" s="92"/>
      <c r="N199" s="92"/>
      <c r="O199" s="1"/>
      <c r="P199" s="1"/>
      <c r="Q199" s="1"/>
      <c r="R199" s="1"/>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row>
    <row r="200" spans="1:64" x14ac:dyDescent="0.25">
      <c r="A200" s="1"/>
      <c r="B200" s="92"/>
      <c r="C200" s="92"/>
      <c r="D200" s="92"/>
      <c r="E200" s="92"/>
      <c r="F200" s="92"/>
      <c r="G200" s="92"/>
      <c r="H200" s="92"/>
      <c r="I200" s="92"/>
      <c r="J200" s="92"/>
      <c r="K200" s="92"/>
      <c r="L200" s="92"/>
      <c r="M200" s="92"/>
      <c r="N200" s="92"/>
      <c r="O200" s="1"/>
      <c r="P200" s="1"/>
      <c r="Q200" s="1"/>
      <c r="R200" s="1"/>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row>
    <row r="201" spans="1:64" x14ac:dyDescent="0.25">
      <c r="A201" s="1"/>
      <c r="B201" s="92"/>
      <c r="C201" s="92"/>
      <c r="D201" s="92"/>
      <c r="E201" s="92"/>
      <c r="F201" s="92"/>
      <c r="G201" s="92"/>
      <c r="H201" s="92"/>
      <c r="I201" s="92"/>
      <c r="J201" s="92"/>
      <c r="K201" s="92"/>
      <c r="L201" s="92"/>
      <c r="M201" s="92"/>
      <c r="N201" s="92"/>
      <c r="O201" s="1"/>
      <c r="P201" s="1"/>
      <c r="Q201" s="1"/>
      <c r="R201" s="1"/>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row>
    <row r="202" spans="1:64" x14ac:dyDescent="0.25">
      <c r="A202" s="1"/>
      <c r="B202" s="92"/>
      <c r="C202" s="92"/>
      <c r="D202" s="92"/>
      <c r="E202" s="92"/>
      <c r="F202" s="92"/>
      <c r="G202" s="92"/>
      <c r="H202" s="92"/>
      <c r="I202" s="92"/>
      <c r="J202" s="92"/>
      <c r="K202" s="92"/>
      <c r="L202" s="92"/>
      <c r="M202" s="92"/>
      <c r="N202" s="92"/>
      <c r="O202" s="1"/>
      <c r="P202" s="1"/>
      <c r="Q202" s="1"/>
      <c r="R202" s="1"/>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row>
    <row r="203" spans="1:64" x14ac:dyDescent="0.25">
      <c r="A203" s="1"/>
      <c r="B203" s="92"/>
      <c r="C203" s="92"/>
      <c r="D203" s="92"/>
      <c r="E203" s="92"/>
      <c r="F203" s="92"/>
      <c r="G203" s="92"/>
      <c r="H203" s="92"/>
      <c r="I203" s="92"/>
      <c r="J203" s="92"/>
      <c r="K203" s="92"/>
      <c r="L203" s="92"/>
      <c r="M203" s="92"/>
      <c r="N203" s="92"/>
      <c r="O203" s="1"/>
      <c r="P203" s="1"/>
      <c r="Q203" s="1"/>
      <c r="R203" s="1"/>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row>
    <row r="204" spans="1:64" x14ac:dyDescent="0.25">
      <c r="A204" s="1"/>
      <c r="B204" s="92"/>
      <c r="C204" s="92"/>
      <c r="D204" s="92"/>
      <c r="E204" s="92"/>
      <c r="F204" s="92"/>
      <c r="G204" s="92"/>
      <c r="H204" s="92"/>
      <c r="I204" s="92"/>
      <c r="J204" s="92"/>
      <c r="K204" s="92"/>
      <c r="L204" s="92"/>
      <c r="M204" s="92"/>
      <c r="N204" s="92"/>
      <c r="O204" s="1"/>
      <c r="P204" s="1"/>
      <c r="Q204" s="1"/>
      <c r="R204" s="1"/>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row>
    <row r="205" spans="1:64" x14ac:dyDescent="0.25">
      <c r="A205" s="1"/>
      <c r="B205" s="92"/>
      <c r="C205" s="92"/>
      <c r="D205" s="92"/>
      <c r="E205" s="92"/>
      <c r="F205" s="92"/>
      <c r="G205" s="92"/>
      <c r="H205" s="92"/>
      <c r="I205" s="92"/>
      <c r="J205" s="92"/>
      <c r="K205" s="92"/>
      <c r="L205" s="92"/>
      <c r="M205" s="92"/>
      <c r="N205" s="92"/>
      <c r="O205" s="1"/>
      <c r="P205" s="1"/>
      <c r="Q205" s="1"/>
      <c r="R205" s="1"/>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row>
    <row r="206" spans="1:64" x14ac:dyDescent="0.25">
      <c r="A206" s="1"/>
      <c r="B206" s="92"/>
      <c r="C206" s="92"/>
      <c r="D206" s="92"/>
      <c r="E206" s="92"/>
      <c r="F206" s="92"/>
      <c r="G206" s="92"/>
      <c r="H206" s="92"/>
      <c r="I206" s="92"/>
      <c r="J206" s="92"/>
      <c r="K206" s="92"/>
      <c r="L206" s="92"/>
      <c r="M206" s="92"/>
      <c r="N206" s="92"/>
      <c r="O206" s="1"/>
      <c r="P206" s="1"/>
      <c r="Q206" s="1"/>
      <c r="R206" s="1"/>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row>
    <row r="207" spans="1:64" x14ac:dyDescent="0.25">
      <c r="A207" s="1"/>
      <c r="B207" s="92"/>
      <c r="C207" s="92"/>
      <c r="D207" s="92"/>
      <c r="E207" s="92"/>
      <c r="F207" s="92"/>
      <c r="G207" s="92"/>
      <c r="H207" s="92"/>
      <c r="I207" s="92"/>
      <c r="J207" s="92"/>
      <c r="K207" s="92"/>
      <c r="L207" s="92"/>
      <c r="M207" s="92"/>
      <c r="N207" s="92"/>
      <c r="O207" s="1"/>
      <c r="P207" s="1"/>
      <c r="Q207" s="1"/>
      <c r="R207" s="1"/>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row>
    <row r="208" spans="1:64" x14ac:dyDescent="0.25">
      <c r="A208" s="1"/>
      <c r="B208" s="92"/>
      <c r="C208" s="92"/>
      <c r="D208" s="92"/>
      <c r="E208" s="92"/>
      <c r="F208" s="92"/>
      <c r="G208" s="92"/>
      <c r="H208" s="92"/>
      <c r="I208" s="92"/>
      <c r="J208" s="92"/>
      <c r="K208" s="92"/>
      <c r="L208" s="92"/>
      <c r="M208" s="92"/>
      <c r="N208" s="92"/>
      <c r="O208" s="1"/>
      <c r="P208" s="1"/>
      <c r="Q208" s="1"/>
      <c r="R208" s="1"/>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row>
    <row r="209" spans="1:64" x14ac:dyDescent="0.25">
      <c r="A209" s="1"/>
      <c r="B209" s="92"/>
      <c r="C209" s="92"/>
      <c r="D209" s="92"/>
      <c r="E209" s="92"/>
      <c r="F209" s="92"/>
      <c r="G209" s="92"/>
      <c r="H209" s="92"/>
      <c r="I209" s="92"/>
      <c r="J209" s="92"/>
      <c r="K209" s="92"/>
      <c r="L209" s="92"/>
      <c r="M209" s="92"/>
      <c r="N209" s="92"/>
      <c r="O209" s="1"/>
      <c r="P209" s="1"/>
      <c r="Q209" s="1"/>
      <c r="R209" s="1"/>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row>
    <row r="210" spans="1:64" x14ac:dyDescent="0.25">
      <c r="A210" s="1"/>
      <c r="B210" s="92"/>
      <c r="C210" s="92"/>
      <c r="D210" s="92"/>
      <c r="E210" s="92"/>
      <c r="F210" s="92"/>
      <c r="G210" s="92"/>
      <c r="H210" s="92"/>
      <c r="I210" s="92"/>
      <c r="J210" s="92"/>
      <c r="K210" s="92"/>
      <c r="L210" s="92"/>
      <c r="M210" s="92"/>
      <c r="N210" s="92"/>
      <c r="O210" s="1"/>
      <c r="P210" s="1"/>
      <c r="Q210" s="1"/>
      <c r="R210" s="1"/>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row>
    <row r="211" spans="1:64" x14ac:dyDescent="0.25">
      <c r="A211" s="1"/>
      <c r="B211" s="92"/>
      <c r="C211" s="92"/>
      <c r="D211" s="92"/>
      <c r="E211" s="92"/>
      <c r="F211" s="92"/>
      <c r="G211" s="92"/>
      <c r="H211" s="92"/>
      <c r="I211" s="92"/>
      <c r="J211" s="92"/>
      <c r="K211" s="92"/>
      <c r="L211" s="92"/>
      <c r="M211" s="92"/>
      <c r="N211" s="92"/>
      <c r="O211" s="1"/>
      <c r="P211" s="1"/>
      <c r="Q211" s="1"/>
      <c r="R211" s="1"/>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row>
    <row r="212" spans="1:64" x14ac:dyDescent="0.25">
      <c r="A212" s="1"/>
      <c r="B212" s="92"/>
      <c r="C212" s="92"/>
      <c r="D212" s="92"/>
      <c r="E212" s="92"/>
      <c r="F212" s="92"/>
      <c r="G212" s="92"/>
      <c r="H212" s="92"/>
      <c r="I212" s="92"/>
      <c r="J212" s="92"/>
      <c r="K212" s="92"/>
      <c r="L212" s="92"/>
      <c r="M212" s="92"/>
      <c r="N212" s="92"/>
      <c r="O212" s="1"/>
      <c r="P212" s="1"/>
      <c r="Q212" s="1"/>
      <c r="R212" s="1"/>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row>
    <row r="213" spans="1:64" x14ac:dyDescent="0.25">
      <c r="A213" s="1"/>
      <c r="B213" s="92"/>
      <c r="C213" s="92"/>
      <c r="D213" s="92"/>
      <c r="E213" s="92"/>
      <c r="F213" s="92"/>
      <c r="G213" s="92"/>
      <c r="H213" s="92"/>
      <c r="I213" s="92"/>
      <c r="J213" s="92"/>
      <c r="K213" s="92"/>
      <c r="L213" s="92"/>
      <c r="M213" s="92"/>
      <c r="N213" s="92"/>
      <c r="O213" s="1"/>
      <c r="P213" s="1"/>
      <c r="Q213" s="1"/>
      <c r="R213" s="1"/>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row>
    <row r="214" spans="1:64" x14ac:dyDescent="0.25">
      <c r="A214" s="1"/>
      <c r="B214" s="92"/>
      <c r="C214" s="92"/>
      <c r="D214" s="92"/>
      <c r="E214" s="92"/>
      <c r="F214" s="92"/>
      <c r="G214" s="92"/>
      <c r="H214" s="92"/>
      <c r="I214" s="92"/>
      <c r="J214" s="92"/>
      <c r="K214" s="92"/>
      <c r="L214" s="92"/>
      <c r="M214" s="92"/>
      <c r="N214" s="92"/>
      <c r="O214" s="1"/>
      <c r="P214" s="1"/>
      <c r="Q214" s="1"/>
      <c r="R214" s="1"/>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row>
    <row r="215" spans="1:64" x14ac:dyDescent="0.25">
      <c r="A215" s="1"/>
      <c r="B215" s="92"/>
      <c r="C215" s="92"/>
      <c r="D215" s="92"/>
      <c r="E215" s="92"/>
      <c r="F215" s="92"/>
      <c r="G215" s="92"/>
      <c r="H215" s="92"/>
      <c r="I215" s="92"/>
      <c r="J215" s="92"/>
      <c r="K215" s="92"/>
      <c r="L215" s="92"/>
      <c r="M215" s="92"/>
      <c r="N215" s="92"/>
      <c r="O215" s="1"/>
      <c r="P215" s="1"/>
      <c r="Q215" s="1"/>
      <c r="R215" s="1"/>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row>
    <row r="216" spans="1:64" x14ac:dyDescent="0.25">
      <c r="A216" s="1"/>
      <c r="B216" s="92"/>
      <c r="C216" s="92"/>
      <c r="D216" s="92"/>
      <c r="E216" s="92"/>
      <c r="F216" s="92"/>
      <c r="G216" s="92"/>
      <c r="H216" s="92"/>
      <c r="I216" s="92"/>
      <c r="J216" s="92"/>
      <c r="K216" s="92"/>
      <c r="L216" s="92"/>
      <c r="M216" s="92"/>
      <c r="N216" s="92"/>
      <c r="O216" s="1"/>
      <c r="P216" s="1"/>
      <c r="Q216" s="1"/>
      <c r="R216" s="1"/>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row>
    <row r="217" spans="1:64" x14ac:dyDescent="0.25">
      <c r="A217" s="1"/>
      <c r="B217" s="92"/>
      <c r="C217" s="92"/>
      <c r="D217" s="92"/>
      <c r="E217" s="92"/>
      <c r="F217" s="92"/>
      <c r="G217" s="92"/>
      <c r="H217" s="92"/>
      <c r="I217" s="92"/>
      <c r="J217" s="92"/>
      <c r="K217" s="92"/>
      <c r="L217" s="92"/>
      <c r="M217" s="92"/>
      <c r="N217" s="92"/>
      <c r="O217" s="1"/>
      <c r="P217" s="1"/>
      <c r="Q217" s="1"/>
      <c r="R217" s="1"/>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row>
    <row r="218" spans="1:64" x14ac:dyDescent="0.25">
      <c r="A218" s="1"/>
      <c r="B218" s="92"/>
      <c r="C218" s="92"/>
      <c r="D218" s="92"/>
      <c r="E218" s="92"/>
      <c r="F218" s="92"/>
      <c r="G218" s="92"/>
      <c r="H218" s="92"/>
      <c r="I218" s="92"/>
      <c r="J218" s="92"/>
      <c r="K218" s="92"/>
      <c r="L218" s="92"/>
      <c r="M218" s="92"/>
      <c r="N218" s="92"/>
      <c r="O218" s="1"/>
      <c r="P218" s="1"/>
      <c r="Q218" s="1"/>
      <c r="R218" s="1"/>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row>
    <row r="219" spans="1:64" x14ac:dyDescent="0.25">
      <c r="A219" s="1"/>
      <c r="B219" s="92"/>
      <c r="C219" s="92"/>
      <c r="D219" s="92"/>
      <c r="E219" s="92"/>
      <c r="F219" s="92"/>
      <c r="G219" s="92"/>
      <c r="H219" s="92"/>
      <c r="I219" s="92"/>
      <c r="J219" s="92"/>
      <c r="K219" s="92"/>
      <c r="L219" s="92"/>
      <c r="M219" s="92"/>
      <c r="N219" s="92"/>
      <c r="O219" s="1"/>
      <c r="P219" s="1"/>
      <c r="Q219" s="1"/>
      <c r="R219" s="1"/>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row>
    <row r="220" spans="1:64" x14ac:dyDescent="0.25">
      <c r="A220" s="1"/>
      <c r="B220" s="92"/>
      <c r="C220" s="92"/>
      <c r="D220" s="92"/>
      <c r="E220" s="92"/>
      <c r="F220" s="92"/>
      <c r="G220" s="92"/>
      <c r="H220" s="92"/>
      <c r="I220" s="92"/>
      <c r="J220" s="92"/>
      <c r="K220" s="92"/>
      <c r="L220" s="92"/>
      <c r="M220" s="92"/>
      <c r="N220" s="92"/>
      <c r="O220" s="1"/>
      <c r="P220" s="1"/>
      <c r="Q220" s="1"/>
      <c r="R220" s="1"/>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row>
    <row r="221" spans="1:64" x14ac:dyDescent="0.25">
      <c r="A221" s="1"/>
      <c r="B221" s="92"/>
      <c r="C221" s="92"/>
      <c r="D221" s="92"/>
      <c r="E221" s="92"/>
      <c r="F221" s="92"/>
      <c r="G221" s="92"/>
      <c r="H221" s="92"/>
      <c r="I221" s="92"/>
      <c r="J221" s="92"/>
      <c r="K221" s="92"/>
      <c r="L221" s="92"/>
      <c r="M221" s="92"/>
      <c r="N221" s="92"/>
      <c r="O221" s="1"/>
      <c r="P221" s="1"/>
      <c r="Q221" s="1"/>
      <c r="R221" s="1"/>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row>
    <row r="222" spans="1:64" x14ac:dyDescent="0.25">
      <c r="A222" s="1"/>
      <c r="B222" s="92"/>
      <c r="C222" s="92"/>
      <c r="D222" s="92"/>
      <c r="E222" s="92"/>
      <c r="F222" s="92"/>
      <c r="G222" s="92"/>
      <c r="H222" s="92"/>
      <c r="I222" s="92"/>
      <c r="J222" s="92"/>
      <c r="K222" s="92"/>
      <c r="L222" s="92"/>
      <c r="M222" s="92"/>
      <c r="N222" s="92"/>
      <c r="O222" s="1"/>
      <c r="P222" s="1"/>
      <c r="Q222" s="1"/>
      <c r="R222" s="1"/>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row>
    <row r="223" spans="1:64" x14ac:dyDescent="0.25">
      <c r="A223" s="1"/>
      <c r="B223" s="92"/>
      <c r="C223" s="92"/>
      <c r="D223" s="92"/>
      <c r="E223" s="92"/>
      <c r="F223" s="92"/>
      <c r="G223" s="92"/>
      <c r="H223" s="92"/>
      <c r="I223" s="92"/>
      <c r="J223" s="92"/>
      <c r="K223" s="92"/>
      <c r="L223" s="92"/>
      <c r="M223" s="92"/>
      <c r="N223" s="92"/>
      <c r="O223" s="1"/>
      <c r="P223" s="1"/>
      <c r="Q223" s="1"/>
      <c r="R223" s="1"/>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row>
    <row r="224" spans="1:64" x14ac:dyDescent="0.25">
      <c r="A224" s="1"/>
      <c r="B224" s="92"/>
      <c r="C224" s="92"/>
      <c r="D224" s="92"/>
      <c r="E224" s="92"/>
      <c r="F224" s="92"/>
      <c r="G224" s="92"/>
      <c r="H224" s="92"/>
      <c r="I224" s="92"/>
      <c r="J224" s="92"/>
      <c r="K224" s="92"/>
      <c r="L224" s="92"/>
      <c r="M224" s="92"/>
      <c r="N224" s="92"/>
      <c r="O224" s="1"/>
      <c r="P224" s="1"/>
      <c r="Q224" s="1"/>
      <c r="R224" s="1"/>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row>
    <row r="225" spans="1:64" x14ac:dyDescent="0.25">
      <c r="A225" s="1"/>
      <c r="B225" s="92"/>
      <c r="C225" s="92"/>
      <c r="D225" s="92"/>
      <c r="E225" s="92"/>
      <c r="F225" s="92"/>
      <c r="G225" s="92"/>
      <c r="H225" s="92"/>
      <c r="I225" s="92"/>
      <c r="J225" s="92"/>
      <c r="K225" s="92"/>
      <c r="L225" s="92"/>
      <c r="M225" s="92"/>
      <c r="N225" s="92"/>
      <c r="O225" s="1"/>
      <c r="P225" s="1"/>
      <c r="Q225" s="1"/>
      <c r="R225" s="1"/>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row>
    <row r="226" spans="1:64" x14ac:dyDescent="0.25">
      <c r="A226" s="1"/>
      <c r="B226" s="92"/>
      <c r="C226" s="92"/>
      <c r="D226" s="92"/>
      <c r="E226" s="92"/>
      <c r="F226" s="92"/>
      <c r="G226" s="92"/>
      <c r="H226" s="92"/>
      <c r="I226" s="92"/>
      <c r="J226" s="92"/>
      <c r="K226" s="92"/>
      <c r="L226" s="92"/>
      <c r="M226" s="92"/>
      <c r="N226" s="92"/>
      <c r="O226" s="1"/>
      <c r="P226" s="1"/>
      <c r="Q226" s="1"/>
      <c r="R226" s="1"/>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row>
    <row r="227" spans="1:64" x14ac:dyDescent="0.25">
      <c r="A227" s="1"/>
      <c r="B227" s="92"/>
      <c r="C227" s="92"/>
      <c r="D227" s="92"/>
      <c r="E227" s="92"/>
      <c r="F227" s="92"/>
      <c r="G227" s="92"/>
      <c r="H227" s="92"/>
      <c r="I227" s="92"/>
      <c r="J227" s="92"/>
      <c r="K227" s="92"/>
      <c r="L227" s="92"/>
      <c r="M227" s="92"/>
      <c r="N227" s="92"/>
      <c r="O227" s="1"/>
      <c r="P227" s="1"/>
      <c r="Q227" s="1"/>
      <c r="R227" s="1"/>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row>
    <row r="228" spans="1:64" x14ac:dyDescent="0.25">
      <c r="A228" s="1"/>
      <c r="B228" s="92"/>
      <c r="C228" s="92"/>
      <c r="D228" s="92"/>
      <c r="E228" s="92"/>
      <c r="F228" s="92"/>
      <c r="G228" s="92"/>
      <c r="H228" s="92"/>
      <c r="I228" s="92"/>
      <c r="J228" s="92"/>
      <c r="K228" s="92"/>
      <c r="L228" s="92"/>
      <c r="M228" s="92"/>
      <c r="N228" s="92"/>
      <c r="O228" s="1"/>
      <c r="P228" s="1"/>
      <c r="Q228" s="1"/>
      <c r="R228" s="1"/>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row>
    <row r="229" spans="1:64" x14ac:dyDescent="0.25">
      <c r="A229" s="1"/>
      <c r="B229" s="92"/>
      <c r="C229" s="92"/>
      <c r="D229" s="92"/>
      <c r="E229" s="92"/>
      <c r="F229" s="92"/>
      <c r="G229" s="92"/>
      <c r="H229" s="92"/>
      <c r="I229" s="92"/>
      <c r="J229" s="92"/>
      <c r="K229" s="92"/>
      <c r="L229" s="92"/>
      <c r="M229" s="92"/>
      <c r="N229" s="92"/>
      <c r="O229" s="1"/>
      <c r="P229" s="1"/>
      <c r="Q229" s="1"/>
      <c r="R229" s="1"/>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row>
    <row r="230" spans="1:64" x14ac:dyDescent="0.25">
      <c r="A230" s="1"/>
      <c r="B230" s="92"/>
      <c r="C230" s="92"/>
      <c r="D230" s="92"/>
      <c r="E230" s="92"/>
      <c r="F230" s="92"/>
      <c r="G230" s="92"/>
      <c r="H230" s="92"/>
      <c r="I230" s="92"/>
      <c r="J230" s="92"/>
      <c r="K230" s="92"/>
      <c r="L230" s="92"/>
      <c r="M230" s="92"/>
      <c r="N230" s="92"/>
      <c r="O230" s="1"/>
      <c r="P230" s="1"/>
      <c r="Q230" s="1"/>
      <c r="R230" s="1"/>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row>
    <row r="231" spans="1:64" x14ac:dyDescent="0.25">
      <c r="A231" s="1"/>
      <c r="B231" s="92"/>
      <c r="C231" s="92"/>
      <c r="D231" s="92"/>
      <c r="E231" s="92"/>
      <c r="F231" s="92"/>
      <c r="G231" s="92"/>
      <c r="H231" s="92"/>
      <c r="I231" s="92"/>
      <c r="J231" s="92"/>
      <c r="K231" s="92"/>
      <c r="L231" s="92"/>
      <c r="M231" s="92"/>
      <c r="N231" s="92"/>
      <c r="O231" s="1"/>
      <c r="P231" s="1"/>
      <c r="Q231" s="1"/>
      <c r="R231" s="1"/>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row>
    <row r="232" spans="1:64" x14ac:dyDescent="0.25">
      <c r="A232" s="1"/>
      <c r="B232" s="92"/>
      <c r="C232" s="92"/>
      <c r="D232" s="92"/>
      <c r="E232" s="92"/>
      <c r="F232" s="92"/>
      <c r="G232" s="92"/>
      <c r="H232" s="92"/>
      <c r="I232" s="92"/>
      <c r="J232" s="92"/>
      <c r="K232" s="92"/>
      <c r="L232" s="92"/>
      <c r="M232" s="92"/>
      <c r="N232" s="92"/>
      <c r="O232" s="1"/>
      <c r="P232" s="1"/>
      <c r="Q232" s="1"/>
      <c r="R232" s="1"/>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row>
    <row r="233" spans="1:64" x14ac:dyDescent="0.25">
      <c r="A233" s="1"/>
      <c r="B233" s="92"/>
      <c r="C233" s="92"/>
      <c r="D233" s="92"/>
      <c r="E233" s="92"/>
      <c r="F233" s="92"/>
      <c r="G233" s="92"/>
      <c r="H233" s="92"/>
      <c r="I233" s="92"/>
      <c r="J233" s="92"/>
      <c r="K233" s="92"/>
      <c r="L233" s="92"/>
      <c r="M233" s="92"/>
      <c r="N233" s="92"/>
      <c r="O233" s="1"/>
      <c r="P233" s="1"/>
      <c r="Q233" s="1"/>
      <c r="R233" s="1"/>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row>
    <row r="234" spans="1:64" x14ac:dyDescent="0.25">
      <c r="A234" s="1"/>
      <c r="B234" s="92"/>
      <c r="C234" s="92"/>
      <c r="D234" s="92"/>
      <c r="E234" s="92"/>
      <c r="F234" s="92"/>
      <c r="G234" s="92"/>
      <c r="H234" s="92"/>
      <c r="I234" s="92"/>
      <c r="J234" s="92"/>
      <c r="K234" s="92"/>
      <c r="L234" s="92"/>
      <c r="M234" s="92"/>
      <c r="N234" s="92"/>
      <c r="O234" s="1"/>
      <c r="P234" s="1"/>
      <c r="Q234" s="1"/>
      <c r="R234" s="1"/>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row>
    <row r="235" spans="1:64" x14ac:dyDescent="0.25">
      <c r="A235" s="1"/>
      <c r="B235" s="92"/>
      <c r="C235" s="92"/>
      <c r="D235" s="92"/>
      <c r="E235" s="92"/>
      <c r="F235" s="92"/>
      <c r="G235" s="92"/>
      <c r="H235" s="92"/>
      <c r="I235" s="92"/>
      <c r="J235" s="92"/>
      <c r="K235" s="92"/>
      <c r="L235" s="92"/>
      <c r="M235" s="92"/>
      <c r="N235" s="92"/>
      <c r="O235" s="1"/>
      <c r="P235" s="1"/>
      <c r="Q235" s="1"/>
      <c r="R235" s="1"/>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row>
    <row r="236" spans="1:64" x14ac:dyDescent="0.25">
      <c r="A236" s="1"/>
      <c r="B236" s="92"/>
      <c r="C236" s="92"/>
      <c r="D236" s="92"/>
      <c r="E236" s="92"/>
      <c r="F236" s="92"/>
      <c r="G236" s="92"/>
      <c r="H236" s="92"/>
      <c r="I236" s="92"/>
      <c r="J236" s="92"/>
      <c r="K236" s="92"/>
      <c r="L236" s="92"/>
      <c r="M236" s="92"/>
      <c r="N236" s="92"/>
      <c r="O236" s="1"/>
      <c r="P236" s="1"/>
      <c r="Q236" s="1"/>
      <c r="R236" s="1"/>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row>
    <row r="237" spans="1:64" x14ac:dyDescent="0.25">
      <c r="A237" s="1"/>
      <c r="B237" s="92"/>
      <c r="C237" s="92"/>
      <c r="D237" s="92"/>
      <c r="E237" s="92"/>
      <c r="F237" s="92"/>
      <c r="G237" s="92"/>
      <c r="H237" s="92"/>
      <c r="I237" s="92"/>
      <c r="J237" s="92"/>
      <c r="K237" s="92"/>
      <c r="L237" s="92"/>
      <c r="M237" s="92"/>
      <c r="N237" s="92"/>
      <c r="O237" s="1"/>
      <c r="P237" s="1"/>
      <c r="Q237" s="1"/>
      <c r="R237" s="1"/>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row>
    <row r="238" spans="1:64" x14ac:dyDescent="0.25">
      <c r="A238" s="1"/>
      <c r="B238" s="92"/>
      <c r="C238" s="92"/>
      <c r="D238" s="92"/>
      <c r="E238" s="92"/>
      <c r="F238" s="92"/>
      <c r="G238" s="92"/>
      <c r="H238" s="92"/>
      <c r="I238" s="92"/>
      <c r="J238" s="92"/>
      <c r="K238" s="92"/>
      <c r="L238" s="92"/>
      <c r="M238" s="92"/>
      <c r="N238" s="92"/>
      <c r="O238" s="1"/>
      <c r="P238" s="1"/>
      <c r="Q238" s="1"/>
      <c r="R238" s="1"/>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row>
    <row r="239" spans="1:64" x14ac:dyDescent="0.25">
      <c r="A239" s="1"/>
      <c r="B239" s="92"/>
      <c r="C239" s="92"/>
      <c r="D239" s="92"/>
      <c r="E239" s="92"/>
      <c r="F239" s="92"/>
      <c r="G239" s="92"/>
      <c r="H239" s="92"/>
      <c r="I239" s="92"/>
      <c r="J239" s="92"/>
      <c r="K239" s="92"/>
      <c r="L239" s="92"/>
      <c r="M239" s="92"/>
      <c r="N239" s="92"/>
      <c r="O239" s="1"/>
      <c r="P239" s="1"/>
      <c r="Q239" s="1"/>
      <c r="R239" s="1"/>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row>
    <row r="240" spans="1:64" x14ac:dyDescent="0.25">
      <c r="A240" s="1"/>
      <c r="B240" s="92"/>
      <c r="C240" s="92"/>
      <c r="D240" s="92"/>
      <c r="E240" s="92"/>
      <c r="F240" s="92"/>
      <c r="G240" s="92"/>
      <c r="H240" s="92"/>
      <c r="I240" s="92"/>
      <c r="J240" s="92"/>
      <c r="K240" s="92"/>
      <c r="L240" s="92"/>
      <c r="M240" s="92"/>
      <c r="N240" s="92"/>
      <c r="O240" s="1"/>
      <c r="P240" s="1"/>
      <c r="Q240" s="1"/>
      <c r="R240" s="1"/>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row>
    <row r="241" spans="1:64" x14ac:dyDescent="0.25">
      <c r="A241" s="1"/>
      <c r="B241" s="92"/>
      <c r="C241" s="92"/>
      <c r="D241" s="92"/>
      <c r="E241" s="92"/>
      <c r="F241" s="92"/>
      <c r="G241" s="92"/>
      <c r="H241" s="92"/>
      <c r="I241" s="92"/>
      <c r="J241" s="92"/>
      <c r="K241" s="92"/>
      <c r="L241" s="92"/>
      <c r="M241" s="92"/>
      <c r="N241" s="92"/>
      <c r="O241" s="1"/>
      <c r="P241" s="1"/>
      <c r="Q241" s="1"/>
      <c r="R241" s="1"/>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row>
    <row r="242" spans="1:64" x14ac:dyDescent="0.25">
      <c r="A242" s="1"/>
      <c r="B242" s="92"/>
      <c r="C242" s="92"/>
      <c r="D242" s="92"/>
      <c r="E242" s="92"/>
      <c r="F242" s="92"/>
      <c r="G242" s="92"/>
      <c r="H242" s="92"/>
      <c r="I242" s="92"/>
      <c r="J242" s="92"/>
      <c r="K242" s="92"/>
      <c r="L242" s="92"/>
      <c r="M242" s="92"/>
      <c r="N242" s="92"/>
      <c r="O242" s="1"/>
      <c r="P242" s="1"/>
      <c r="Q242" s="1"/>
      <c r="R242" s="1"/>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row>
    <row r="243" spans="1:64" x14ac:dyDescent="0.25">
      <c r="A243" s="1"/>
      <c r="B243" s="92"/>
      <c r="C243" s="92"/>
      <c r="D243" s="92"/>
      <c r="E243" s="92"/>
      <c r="F243" s="92"/>
      <c r="G243" s="92"/>
      <c r="H243" s="92"/>
      <c r="I243" s="92"/>
      <c r="J243" s="92"/>
      <c r="K243" s="92"/>
      <c r="L243" s="92"/>
      <c r="M243" s="92"/>
      <c r="N243" s="92"/>
      <c r="O243" s="1"/>
      <c r="P243" s="1"/>
      <c r="Q243" s="1"/>
      <c r="R243" s="1"/>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row>
    <row r="244" spans="1:64" x14ac:dyDescent="0.25">
      <c r="A244" s="1"/>
      <c r="B244" s="92"/>
      <c r="C244" s="92"/>
      <c r="D244" s="92"/>
      <c r="E244" s="92"/>
      <c r="F244" s="92"/>
      <c r="G244" s="92"/>
      <c r="H244" s="92"/>
      <c r="I244" s="92"/>
      <c r="J244" s="92"/>
      <c r="K244" s="92"/>
      <c r="L244" s="92"/>
      <c r="M244" s="92"/>
      <c r="N244" s="92"/>
      <c r="O244" s="1"/>
      <c r="P244" s="1"/>
      <c r="Q244" s="1"/>
      <c r="R244" s="1"/>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row>
    <row r="245" spans="1:64" x14ac:dyDescent="0.25">
      <c r="A245" s="1"/>
      <c r="B245" s="92"/>
      <c r="C245" s="92"/>
      <c r="D245" s="92"/>
      <c r="E245" s="92"/>
      <c r="F245" s="92"/>
      <c r="G245" s="92"/>
      <c r="H245" s="92"/>
      <c r="I245" s="92"/>
      <c r="J245" s="92"/>
      <c r="K245" s="92"/>
      <c r="L245" s="92"/>
      <c r="M245" s="92"/>
      <c r="N245" s="92"/>
      <c r="O245" s="1"/>
      <c r="P245" s="1"/>
      <c r="Q245" s="1"/>
      <c r="R245" s="1"/>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row>
    <row r="246" spans="1:64" x14ac:dyDescent="0.25">
      <c r="A246" s="1"/>
      <c r="B246" s="92"/>
      <c r="C246" s="92"/>
      <c r="D246" s="92"/>
      <c r="E246" s="92"/>
      <c r="F246" s="92"/>
      <c r="G246" s="92"/>
      <c r="H246" s="92"/>
      <c r="I246" s="92"/>
      <c r="J246" s="92"/>
      <c r="K246" s="92"/>
      <c r="L246" s="92"/>
      <c r="M246" s="92"/>
      <c r="N246" s="92"/>
      <c r="O246" s="1"/>
      <c r="P246" s="1"/>
      <c r="Q246" s="1"/>
      <c r="R246" s="1"/>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row>
    <row r="247" spans="1:64" x14ac:dyDescent="0.25">
      <c r="A247" s="1"/>
      <c r="B247" s="92"/>
      <c r="C247" s="92"/>
      <c r="D247" s="92"/>
      <c r="E247" s="92"/>
      <c r="F247" s="92"/>
      <c r="G247" s="92"/>
      <c r="H247" s="92"/>
      <c r="I247" s="92"/>
      <c r="J247" s="92"/>
      <c r="K247" s="92"/>
      <c r="L247" s="92"/>
      <c r="M247" s="92"/>
      <c r="N247" s="92"/>
      <c r="O247" s="1"/>
      <c r="P247" s="1"/>
      <c r="Q247" s="1"/>
      <c r="R247" s="1"/>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row>
    <row r="248" spans="1:64" x14ac:dyDescent="0.25">
      <c r="A248" s="1"/>
      <c r="B248" s="92"/>
      <c r="C248" s="92"/>
      <c r="D248" s="92"/>
      <c r="E248" s="92"/>
      <c r="F248" s="92"/>
      <c r="G248" s="92"/>
      <c r="H248" s="92"/>
      <c r="I248" s="92"/>
      <c r="J248" s="92"/>
      <c r="K248" s="92"/>
      <c r="L248" s="92"/>
      <c r="M248" s="92"/>
      <c r="N248" s="92"/>
      <c r="O248" s="1"/>
      <c r="P248" s="1"/>
      <c r="Q248" s="1"/>
      <c r="R248" s="1"/>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row>
    <row r="249" spans="1:64" x14ac:dyDescent="0.25">
      <c r="A249" s="1"/>
      <c r="B249" s="92"/>
      <c r="C249" s="92"/>
      <c r="D249" s="92"/>
      <c r="E249" s="92"/>
      <c r="F249" s="92"/>
      <c r="G249" s="92"/>
      <c r="H249" s="92"/>
      <c r="I249" s="92"/>
      <c r="J249" s="92"/>
      <c r="K249" s="92"/>
      <c r="L249" s="92"/>
      <c r="M249" s="92"/>
      <c r="N249" s="92"/>
      <c r="O249" s="1"/>
      <c r="P249" s="1"/>
      <c r="Q249" s="1"/>
      <c r="R249" s="1"/>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row>
    <row r="250" spans="1:64" x14ac:dyDescent="0.25">
      <c r="A250" s="1"/>
      <c r="B250" s="92"/>
      <c r="C250" s="92"/>
      <c r="D250" s="92"/>
      <c r="E250" s="92"/>
      <c r="F250" s="92"/>
      <c r="G250" s="92"/>
      <c r="H250" s="92"/>
      <c r="I250" s="92"/>
      <c r="J250" s="92"/>
      <c r="K250" s="92"/>
      <c r="L250" s="92"/>
      <c r="M250" s="92"/>
      <c r="N250" s="92"/>
      <c r="O250" s="1"/>
      <c r="P250" s="1"/>
      <c r="Q250" s="1"/>
      <c r="R250" s="1"/>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row>
    <row r="251" spans="1:64" x14ac:dyDescent="0.25">
      <c r="A251" s="1"/>
      <c r="B251" s="92"/>
      <c r="C251" s="92"/>
      <c r="D251" s="92"/>
      <c r="E251" s="92"/>
      <c r="F251" s="92"/>
      <c r="G251" s="92"/>
      <c r="H251" s="92"/>
      <c r="I251" s="92"/>
      <c r="J251" s="92"/>
      <c r="K251" s="92"/>
      <c r="L251" s="92"/>
      <c r="M251" s="92"/>
      <c r="N251" s="92"/>
      <c r="O251" s="1"/>
      <c r="P251" s="1"/>
      <c r="Q251" s="1"/>
      <c r="R251" s="1"/>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row>
    <row r="252" spans="1:64" x14ac:dyDescent="0.25">
      <c r="A252" s="1"/>
      <c r="B252" s="92"/>
      <c r="C252" s="92"/>
      <c r="D252" s="92"/>
      <c r="E252" s="92"/>
      <c r="F252" s="92"/>
      <c r="G252" s="92"/>
      <c r="H252" s="92"/>
      <c r="I252" s="92"/>
      <c r="J252" s="92"/>
      <c r="K252" s="92"/>
      <c r="L252" s="92"/>
      <c r="M252" s="92"/>
      <c r="N252" s="92"/>
      <c r="O252" s="1"/>
      <c r="P252" s="1"/>
      <c r="Q252" s="1"/>
      <c r="R252" s="1"/>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row>
    <row r="253" spans="1:64" x14ac:dyDescent="0.25">
      <c r="A253" s="1"/>
      <c r="B253" s="92"/>
      <c r="C253" s="92"/>
      <c r="D253" s="92"/>
      <c r="E253" s="92"/>
      <c r="F253" s="92"/>
      <c r="G253" s="92"/>
      <c r="H253" s="92"/>
      <c r="I253" s="92"/>
      <c r="J253" s="92"/>
      <c r="K253" s="92"/>
      <c r="L253" s="92"/>
      <c r="M253" s="92"/>
      <c r="N253" s="92"/>
      <c r="O253" s="1"/>
      <c r="P253" s="1"/>
      <c r="Q253" s="1"/>
      <c r="R253" s="1"/>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row>
    <row r="254" spans="1:64" x14ac:dyDescent="0.25">
      <c r="A254" s="1"/>
      <c r="B254" s="92"/>
      <c r="C254" s="92"/>
      <c r="D254" s="92"/>
      <c r="E254" s="92"/>
      <c r="F254" s="92"/>
      <c r="G254" s="92"/>
      <c r="H254" s="92"/>
      <c r="I254" s="92"/>
      <c r="J254" s="92"/>
      <c r="K254" s="92"/>
      <c r="L254" s="92"/>
      <c r="M254" s="92"/>
      <c r="N254" s="92"/>
      <c r="O254" s="1"/>
      <c r="P254" s="1"/>
      <c r="Q254" s="1"/>
      <c r="R254" s="1"/>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row>
    <row r="255" spans="1:64" x14ac:dyDescent="0.25">
      <c r="A255" s="1"/>
      <c r="B255" s="92"/>
      <c r="C255" s="92"/>
      <c r="D255" s="92"/>
      <c r="E255" s="92"/>
      <c r="F255" s="92"/>
      <c r="G255" s="92"/>
      <c r="H255" s="92"/>
      <c r="I255" s="92"/>
      <c r="J255" s="92"/>
      <c r="K255" s="92"/>
      <c r="L255" s="92"/>
      <c r="M255" s="92"/>
      <c r="N255" s="92"/>
      <c r="O255" s="1"/>
      <c r="P255" s="1"/>
      <c r="Q255" s="1"/>
      <c r="R255" s="1"/>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row>
    <row r="256" spans="1:64" x14ac:dyDescent="0.25">
      <c r="A256" s="1"/>
      <c r="B256" s="92"/>
      <c r="C256" s="92"/>
      <c r="D256" s="92"/>
      <c r="E256" s="92"/>
      <c r="F256" s="92"/>
      <c r="G256" s="92"/>
      <c r="H256" s="92"/>
      <c r="I256" s="92"/>
      <c r="J256" s="92"/>
      <c r="K256" s="92"/>
      <c r="L256" s="92"/>
      <c r="M256" s="92"/>
      <c r="N256" s="92"/>
      <c r="O256" s="1"/>
      <c r="P256" s="1"/>
      <c r="Q256" s="1"/>
      <c r="R256" s="1"/>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row>
    <row r="257" spans="1:64" x14ac:dyDescent="0.25">
      <c r="A257" s="1"/>
      <c r="B257" s="92"/>
      <c r="C257" s="92"/>
      <c r="D257" s="92"/>
      <c r="E257" s="92"/>
      <c r="F257" s="92"/>
      <c r="G257" s="92"/>
      <c r="H257" s="92"/>
      <c r="I257" s="92"/>
      <c r="J257" s="92"/>
      <c r="K257" s="92"/>
      <c r="L257" s="92"/>
      <c r="M257" s="92"/>
      <c r="N257" s="92"/>
      <c r="O257" s="1"/>
      <c r="P257" s="1"/>
      <c r="Q257" s="1"/>
      <c r="R257" s="1"/>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row>
    <row r="258" spans="1:64" x14ac:dyDescent="0.25">
      <c r="A258" s="1"/>
      <c r="B258" s="92"/>
      <c r="C258" s="92"/>
      <c r="D258" s="92"/>
      <c r="E258" s="92"/>
      <c r="F258" s="92"/>
      <c r="G258" s="92"/>
      <c r="H258" s="92"/>
      <c r="I258" s="92"/>
      <c r="J258" s="92"/>
      <c r="K258" s="92"/>
      <c r="L258" s="92"/>
      <c r="M258" s="92"/>
      <c r="N258" s="92"/>
      <c r="O258" s="1"/>
      <c r="P258" s="1"/>
      <c r="Q258" s="1"/>
      <c r="R258" s="1"/>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row>
    <row r="259" spans="1:64" x14ac:dyDescent="0.25">
      <c r="A259" s="1"/>
      <c r="B259" s="92"/>
      <c r="C259" s="92"/>
      <c r="D259" s="92"/>
      <c r="E259" s="92"/>
      <c r="F259" s="92"/>
      <c r="G259" s="92"/>
      <c r="H259" s="92"/>
      <c r="I259" s="92"/>
      <c r="J259" s="92"/>
      <c r="K259" s="92"/>
      <c r="L259" s="92"/>
      <c r="M259" s="92"/>
      <c r="N259" s="92"/>
      <c r="O259" s="1"/>
      <c r="P259" s="1"/>
      <c r="Q259" s="1"/>
      <c r="R259" s="1"/>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row>
    <row r="260" spans="1:64" x14ac:dyDescent="0.25">
      <c r="A260" s="1"/>
      <c r="B260" s="92"/>
      <c r="C260" s="92"/>
      <c r="D260" s="92"/>
      <c r="E260" s="92"/>
      <c r="F260" s="92"/>
      <c r="G260" s="92"/>
      <c r="H260" s="92"/>
      <c r="I260" s="92"/>
      <c r="J260" s="92"/>
      <c r="K260" s="92"/>
      <c r="L260" s="92"/>
      <c r="M260" s="92"/>
      <c r="N260" s="92"/>
      <c r="O260" s="1"/>
      <c r="P260" s="1"/>
      <c r="Q260" s="1"/>
      <c r="R260" s="1"/>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row>
    <row r="261" spans="1:64" x14ac:dyDescent="0.25">
      <c r="A261" s="1"/>
      <c r="B261" s="92"/>
      <c r="C261" s="92"/>
      <c r="D261" s="92"/>
      <c r="E261" s="92"/>
      <c r="F261" s="92"/>
      <c r="G261" s="92"/>
      <c r="H261" s="92"/>
      <c r="I261" s="92"/>
      <c r="J261" s="92"/>
      <c r="K261" s="92"/>
      <c r="L261" s="92"/>
      <c r="M261" s="92"/>
      <c r="N261" s="92"/>
      <c r="O261" s="1"/>
      <c r="P261" s="1"/>
      <c r="Q261" s="1"/>
      <c r="R261" s="1"/>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row>
    <row r="262" spans="1:64" x14ac:dyDescent="0.25">
      <c r="A262" s="1"/>
      <c r="B262" s="92"/>
      <c r="C262" s="92"/>
      <c r="D262" s="92"/>
      <c r="E262" s="92"/>
      <c r="F262" s="92"/>
      <c r="G262" s="92"/>
      <c r="H262" s="92"/>
      <c r="I262" s="92"/>
      <c r="J262" s="92"/>
      <c r="K262" s="92"/>
      <c r="L262" s="92"/>
      <c r="M262" s="92"/>
      <c r="N262" s="92"/>
      <c r="O262" s="1"/>
      <c r="P262" s="1"/>
      <c r="Q262" s="1"/>
      <c r="R262" s="1"/>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row>
    <row r="263" spans="1:64" x14ac:dyDescent="0.25">
      <c r="A263" s="1"/>
      <c r="B263" s="92"/>
      <c r="C263" s="92"/>
      <c r="D263" s="92"/>
      <c r="E263" s="92"/>
      <c r="F263" s="92"/>
      <c r="G263" s="92"/>
      <c r="H263" s="92"/>
      <c r="I263" s="92"/>
      <c r="J263" s="92"/>
      <c r="K263" s="92"/>
      <c r="L263" s="92"/>
      <c r="M263" s="92"/>
      <c r="N263" s="92"/>
      <c r="O263" s="1"/>
      <c r="P263" s="1"/>
      <c r="Q263" s="1"/>
      <c r="R263" s="1"/>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row>
    <row r="264" spans="1:64" x14ac:dyDescent="0.25">
      <c r="A264" s="1"/>
      <c r="B264" s="92"/>
      <c r="C264" s="92"/>
      <c r="D264" s="92"/>
      <c r="E264" s="92"/>
      <c r="F264" s="92"/>
      <c r="G264" s="92"/>
      <c r="H264" s="92"/>
      <c r="I264" s="92"/>
      <c r="J264" s="92"/>
      <c r="K264" s="92"/>
      <c r="L264" s="92"/>
      <c r="M264" s="92"/>
      <c r="N264" s="92"/>
      <c r="O264" s="1"/>
      <c r="P264" s="1"/>
      <c r="Q264" s="1"/>
      <c r="R264" s="1"/>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row>
    <row r="265" spans="1:64" x14ac:dyDescent="0.25">
      <c r="A265" s="1"/>
      <c r="B265" s="92"/>
      <c r="C265" s="92"/>
      <c r="D265" s="92"/>
      <c r="E265" s="92"/>
      <c r="F265" s="92"/>
      <c r="G265" s="92"/>
      <c r="H265" s="92"/>
      <c r="I265" s="92"/>
      <c r="J265" s="92"/>
      <c r="K265" s="92"/>
      <c r="L265" s="92"/>
      <c r="M265" s="92"/>
      <c r="N265" s="92"/>
      <c r="O265" s="1"/>
      <c r="P265" s="1"/>
      <c r="Q265" s="1"/>
      <c r="R265" s="1"/>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row>
    <row r="266" spans="1:64" x14ac:dyDescent="0.25">
      <c r="A266" s="1"/>
      <c r="B266" s="92"/>
      <c r="C266" s="92"/>
      <c r="D266" s="92"/>
      <c r="E266" s="92"/>
      <c r="F266" s="92"/>
      <c r="G266" s="92"/>
      <c r="H266" s="92"/>
      <c r="I266" s="92"/>
      <c r="J266" s="92"/>
      <c r="K266" s="92"/>
      <c r="L266" s="92"/>
      <c r="M266" s="92"/>
      <c r="N266" s="92"/>
      <c r="O266" s="1"/>
      <c r="P266" s="1"/>
      <c r="Q266" s="1"/>
      <c r="R266" s="1"/>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row>
    <row r="267" spans="1:64" x14ac:dyDescent="0.25">
      <c r="A267" s="1"/>
      <c r="B267" s="92"/>
      <c r="C267" s="92"/>
      <c r="D267" s="92"/>
      <c r="E267" s="92"/>
      <c r="F267" s="92"/>
      <c r="G267" s="92"/>
      <c r="H267" s="92"/>
      <c r="I267" s="92"/>
      <c r="J267" s="92"/>
      <c r="K267" s="92"/>
      <c r="L267" s="92"/>
      <c r="M267" s="92"/>
      <c r="N267" s="92"/>
      <c r="O267" s="1"/>
      <c r="P267" s="1"/>
      <c r="Q267" s="1"/>
      <c r="R267" s="1"/>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row>
    <row r="268" spans="1:64" x14ac:dyDescent="0.25">
      <c r="A268" s="1"/>
      <c r="B268" s="92"/>
      <c r="C268" s="92"/>
      <c r="D268" s="92"/>
      <c r="E268" s="92"/>
      <c r="F268" s="92"/>
      <c r="G268" s="92"/>
      <c r="H268" s="92"/>
      <c r="I268" s="92"/>
      <c r="J268" s="92"/>
      <c r="K268" s="92"/>
      <c r="L268" s="92"/>
      <c r="M268" s="92"/>
      <c r="N268" s="92"/>
      <c r="O268" s="1"/>
      <c r="P268" s="1"/>
      <c r="Q268" s="1"/>
      <c r="R268" s="1"/>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row>
    <row r="269" spans="1:64" x14ac:dyDescent="0.25">
      <c r="A269" s="1"/>
      <c r="B269" s="92"/>
      <c r="C269" s="92"/>
      <c r="D269" s="92"/>
      <c r="E269" s="92"/>
      <c r="F269" s="92"/>
      <c r="G269" s="92"/>
      <c r="H269" s="92"/>
      <c r="I269" s="92"/>
      <c r="J269" s="92"/>
      <c r="K269" s="92"/>
      <c r="L269" s="92"/>
      <c r="M269" s="92"/>
      <c r="N269" s="92"/>
      <c r="O269" s="1"/>
      <c r="P269" s="1"/>
      <c r="Q269" s="1"/>
      <c r="R269" s="1"/>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row>
    <row r="270" spans="1:64" x14ac:dyDescent="0.25">
      <c r="A270" s="1"/>
      <c r="B270" s="92"/>
      <c r="C270" s="92"/>
      <c r="D270" s="92"/>
      <c r="E270" s="92"/>
      <c r="F270" s="92"/>
      <c r="G270" s="92"/>
      <c r="H270" s="92"/>
      <c r="I270" s="92"/>
      <c r="J270" s="92"/>
      <c r="K270" s="92"/>
      <c r="L270" s="92"/>
      <c r="M270" s="92"/>
      <c r="N270" s="92"/>
      <c r="O270" s="1"/>
      <c r="P270" s="1"/>
      <c r="Q270" s="1"/>
      <c r="R270" s="1"/>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row>
    <row r="271" spans="1:64" x14ac:dyDescent="0.25">
      <c r="A271" s="1"/>
      <c r="B271" s="92"/>
      <c r="C271" s="92"/>
      <c r="D271" s="92"/>
      <c r="E271" s="92"/>
      <c r="F271" s="92"/>
      <c r="G271" s="92"/>
      <c r="H271" s="92"/>
      <c r="I271" s="92"/>
      <c r="J271" s="92"/>
      <c r="K271" s="92"/>
      <c r="L271" s="92"/>
      <c r="M271" s="92"/>
      <c r="N271" s="92"/>
      <c r="O271" s="1"/>
      <c r="P271" s="1"/>
      <c r="Q271" s="1"/>
      <c r="R271" s="1"/>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row>
    <row r="272" spans="1:64" x14ac:dyDescent="0.25">
      <c r="A272" s="1"/>
      <c r="B272" s="92"/>
      <c r="C272" s="92"/>
      <c r="D272" s="92"/>
      <c r="E272" s="92"/>
      <c r="F272" s="92"/>
      <c r="G272" s="92"/>
      <c r="H272" s="92"/>
      <c r="I272" s="92"/>
      <c r="J272" s="92"/>
      <c r="K272" s="92"/>
      <c r="L272" s="92"/>
      <c r="M272" s="92"/>
      <c r="N272" s="92"/>
      <c r="O272" s="1"/>
      <c r="P272" s="1"/>
      <c r="Q272" s="1"/>
      <c r="R272" s="1"/>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row>
    <row r="273" spans="1:64" x14ac:dyDescent="0.25">
      <c r="A273" s="1"/>
      <c r="B273" s="92"/>
      <c r="C273" s="92"/>
      <c r="D273" s="92"/>
      <c r="E273" s="92"/>
      <c r="F273" s="92"/>
      <c r="G273" s="92"/>
      <c r="H273" s="92"/>
      <c r="I273" s="92"/>
      <c r="J273" s="92"/>
      <c r="K273" s="92"/>
      <c r="L273" s="92"/>
      <c r="M273" s="92"/>
      <c r="N273" s="92"/>
      <c r="O273" s="1"/>
      <c r="P273" s="1"/>
      <c r="Q273" s="1"/>
      <c r="R273" s="1"/>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row>
    <row r="274" spans="1:64" x14ac:dyDescent="0.25">
      <c r="A274" s="1"/>
      <c r="B274" s="92"/>
      <c r="C274" s="92"/>
      <c r="D274" s="92"/>
      <c r="E274" s="92"/>
      <c r="F274" s="92"/>
      <c r="G274" s="92"/>
      <c r="H274" s="92"/>
      <c r="I274" s="92"/>
      <c r="J274" s="92"/>
      <c r="K274" s="92"/>
      <c r="L274" s="92"/>
      <c r="M274" s="92"/>
      <c r="N274" s="92"/>
      <c r="O274" s="1"/>
      <c r="P274" s="1"/>
      <c r="Q274" s="1"/>
      <c r="R274" s="1"/>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row>
    <row r="275" spans="1:64" x14ac:dyDescent="0.25">
      <c r="A275" s="1"/>
      <c r="B275" s="92"/>
      <c r="C275" s="92"/>
      <c r="D275" s="92"/>
      <c r="E275" s="92"/>
      <c r="F275" s="92"/>
      <c r="G275" s="92"/>
      <c r="H275" s="92"/>
      <c r="I275" s="92"/>
      <c r="J275" s="92"/>
      <c r="K275" s="92"/>
      <c r="L275" s="92"/>
      <c r="M275" s="92"/>
      <c r="N275" s="92"/>
      <c r="O275" s="1"/>
      <c r="P275" s="1"/>
      <c r="Q275" s="1"/>
      <c r="R275" s="1"/>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row>
    <row r="276" spans="1:64" x14ac:dyDescent="0.25">
      <c r="A276" s="1"/>
      <c r="B276" s="92"/>
      <c r="C276" s="92"/>
      <c r="D276" s="92"/>
      <c r="E276" s="92"/>
      <c r="F276" s="92"/>
      <c r="G276" s="92"/>
      <c r="H276" s="92"/>
      <c r="I276" s="92"/>
      <c r="J276" s="92"/>
      <c r="K276" s="92"/>
      <c r="L276" s="92"/>
      <c r="M276" s="92"/>
      <c r="N276" s="92"/>
      <c r="O276" s="1"/>
      <c r="P276" s="1"/>
      <c r="Q276" s="1"/>
      <c r="R276" s="1"/>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row>
    <row r="277" spans="1:64" x14ac:dyDescent="0.25">
      <c r="A277" s="1"/>
      <c r="B277" s="92"/>
      <c r="C277" s="92"/>
      <c r="D277" s="92"/>
      <c r="E277" s="92"/>
      <c r="F277" s="92"/>
      <c r="G277" s="92"/>
      <c r="H277" s="92"/>
      <c r="I277" s="92"/>
      <c r="J277" s="92"/>
      <c r="K277" s="92"/>
      <c r="L277" s="92"/>
      <c r="M277" s="92"/>
      <c r="N277" s="92"/>
      <c r="O277" s="1"/>
      <c r="P277" s="1"/>
      <c r="Q277" s="1"/>
      <c r="R277" s="1"/>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row>
    <row r="278" spans="1:64" x14ac:dyDescent="0.25">
      <c r="A278" s="1"/>
      <c r="B278" s="92"/>
      <c r="C278" s="92"/>
      <c r="D278" s="92"/>
      <c r="E278" s="92"/>
      <c r="F278" s="92"/>
      <c r="G278" s="92"/>
      <c r="H278" s="92"/>
      <c r="I278" s="92"/>
      <c r="J278" s="92"/>
      <c r="K278" s="92"/>
      <c r="L278" s="92"/>
      <c r="M278" s="92"/>
      <c r="N278" s="92"/>
      <c r="O278" s="1"/>
      <c r="P278" s="1"/>
      <c r="Q278" s="1"/>
      <c r="R278" s="1"/>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row>
    <row r="279" spans="1:64" x14ac:dyDescent="0.25">
      <c r="A279" s="1"/>
      <c r="B279" s="92"/>
      <c r="C279" s="92"/>
      <c r="D279" s="92"/>
      <c r="E279" s="92"/>
      <c r="F279" s="92"/>
      <c r="G279" s="92"/>
      <c r="H279" s="92"/>
      <c r="I279" s="92"/>
      <c r="J279" s="92"/>
      <c r="K279" s="92"/>
      <c r="L279" s="92"/>
      <c r="M279" s="92"/>
      <c r="N279" s="92"/>
      <c r="O279" s="1"/>
      <c r="P279" s="1"/>
      <c r="Q279" s="1"/>
      <c r="R279" s="1"/>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row>
    <row r="280" spans="1:64" x14ac:dyDescent="0.25">
      <c r="A280" s="1"/>
      <c r="B280" s="92"/>
      <c r="C280" s="92"/>
      <c r="D280" s="92"/>
      <c r="E280" s="92"/>
      <c r="F280" s="92"/>
      <c r="G280" s="92"/>
      <c r="H280" s="92"/>
      <c r="I280" s="92"/>
      <c r="J280" s="92"/>
      <c r="K280" s="92"/>
      <c r="L280" s="92"/>
      <c r="M280" s="92"/>
      <c r="N280" s="92"/>
      <c r="O280" s="1"/>
      <c r="P280" s="1"/>
      <c r="Q280" s="1"/>
      <c r="R280" s="1"/>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row>
    <row r="281" spans="1:64" x14ac:dyDescent="0.25">
      <c r="A281" s="1"/>
      <c r="B281" s="92"/>
      <c r="C281" s="92"/>
      <c r="D281" s="92"/>
      <c r="E281" s="92"/>
      <c r="F281" s="92"/>
      <c r="G281" s="92"/>
      <c r="H281" s="92"/>
      <c r="I281" s="92"/>
      <c r="J281" s="92"/>
      <c r="K281" s="92"/>
      <c r="L281" s="92"/>
      <c r="M281" s="92"/>
      <c r="N281" s="92"/>
      <c r="O281" s="1"/>
      <c r="P281" s="1"/>
      <c r="Q281" s="1"/>
      <c r="R281" s="1"/>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row>
    <row r="282" spans="1:64" x14ac:dyDescent="0.25">
      <c r="A282" s="1"/>
      <c r="B282" s="92"/>
      <c r="C282" s="92"/>
      <c r="D282" s="92"/>
      <c r="E282" s="92"/>
      <c r="F282" s="92"/>
      <c r="G282" s="92"/>
      <c r="H282" s="92"/>
      <c r="I282" s="92"/>
      <c r="J282" s="92"/>
      <c r="K282" s="92"/>
      <c r="L282" s="92"/>
      <c r="M282" s="92"/>
      <c r="N282" s="92"/>
      <c r="O282" s="1"/>
      <c r="P282" s="1"/>
      <c r="Q282" s="1"/>
      <c r="R282" s="1"/>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row>
    <row r="283" spans="1:64" x14ac:dyDescent="0.25">
      <c r="A283" s="1"/>
      <c r="B283" s="92"/>
      <c r="C283" s="92"/>
      <c r="D283" s="92"/>
      <c r="E283" s="92"/>
      <c r="F283" s="92"/>
      <c r="G283" s="92"/>
      <c r="H283" s="92"/>
      <c r="I283" s="92"/>
      <c r="J283" s="92"/>
      <c r="K283" s="92"/>
      <c r="L283" s="92"/>
      <c r="M283" s="92"/>
      <c r="N283" s="92"/>
      <c r="O283" s="1"/>
      <c r="P283" s="1"/>
      <c r="Q283" s="1"/>
      <c r="R283" s="1"/>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row>
    <row r="284" spans="1:64" x14ac:dyDescent="0.25">
      <c r="A284" s="1"/>
      <c r="B284" s="92"/>
      <c r="C284" s="92"/>
      <c r="D284" s="92"/>
      <c r="E284" s="92"/>
      <c r="F284" s="92"/>
      <c r="G284" s="92"/>
      <c r="H284" s="92"/>
      <c r="I284" s="92"/>
      <c r="J284" s="92"/>
      <c r="K284" s="92"/>
      <c r="L284" s="92"/>
      <c r="M284" s="92"/>
      <c r="N284" s="92"/>
      <c r="O284" s="1"/>
      <c r="P284" s="1"/>
      <c r="Q284" s="1"/>
      <c r="R284" s="1"/>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row>
    <row r="285" spans="1:64" x14ac:dyDescent="0.25">
      <c r="A285" s="1"/>
      <c r="B285" s="92"/>
      <c r="C285" s="92"/>
      <c r="D285" s="92"/>
      <c r="E285" s="92"/>
      <c r="F285" s="92"/>
      <c r="G285" s="92"/>
      <c r="H285" s="92"/>
      <c r="I285" s="92"/>
      <c r="J285" s="92"/>
      <c r="K285" s="92"/>
      <c r="L285" s="92"/>
      <c r="M285" s="92"/>
      <c r="N285" s="92"/>
      <c r="O285" s="1"/>
      <c r="P285" s="1"/>
      <c r="Q285" s="1"/>
      <c r="R285" s="1"/>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row>
    <row r="286" spans="1:64" x14ac:dyDescent="0.25">
      <c r="A286" s="1"/>
      <c r="B286" s="92"/>
      <c r="C286" s="92"/>
      <c r="D286" s="92"/>
      <c r="E286" s="92"/>
      <c r="F286" s="92"/>
      <c r="G286" s="92"/>
      <c r="H286" s="92"/>
      <c r="I286" s="92"/>
      <c r="J286" s="92"/>
      <c r="K286" s="92"/>
      <c r="L286" s="92"/>
      <c r="M286" s="92"/>
      <c r="N286" s="92"/>
      <c r="O286" s="1"/>
      <c r="P286" s="1"/>
      <c r="Q286" s="1"/>
      <c r="R286" s="1"/>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row>
    <row r="287" spans="1:64" x14ac:dyDescent="0.25">
      <c r="A287" s="1"/>
      <c r="B287" s="92"/>
      <c r="C287" s="92"/>
      <c r="D287" s="92"/>
      <c r="E287" s="92"/>
      <c r="F287" s="92"/>
      <c r="G287" s="92"/>
      <c r="H287" s="92"/>
      <c r="I287" s="92"/>
      <c r="J287" s="92"/>
      <c r="K287" s="92"/>
      <c r="L287" s="92"/>
      <c r="M287" s="92"/>
      <c r="N287" s="92"/>
      <c r="O287" s="1"/>
      <c r="P287" s="1"/>
      <c r="Q287" s="1"/>
      <c r="R287" s="1"/>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row>
    <row r="288" spans="1:64" x14ac:dyDescent="0.25">
      <c r="A288" s="1"/>
      <c r="B288" s="92"/>
      <c r="C288" s="92"/>
      <c r="D288" s="92"/>
      <c r="E288" s="92"/>
      <c r="F288" s="92"/>
      <c r="G288" s="92"/>
      <c r="H288" s="92"/>
      <c r="I288" s="92"/>
      <c r="J288" s="92"/>
      <c r="K288" s="92"/>
      <c r="L288" s="92"/>
      <c r="M288" s="92"/>
      <c r="N288" s="92"/>
      <c r="O288" s="1"/>
      <c r="P288" s="1"/>
      <c r="Q288" s="1"/>
      <c r="R288" s="1"/>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row>
    <row r="289" spans="1:64" x14ac:dyDescent="0.25">
      <c r="A289" s="1"/>
      <c r="B289" s="92"/>
      <c r="C289" s="92"/>
      <c r="D289" s="92"/>
      <c r="E289" s="92"/>
      <c r="F289" s="92"/>
      <c r="G289" s="92"/>
      <c r="H289" s="92"/>
      <c r="I289" s="92"/>
      <c r="J289" s="92"/>
      <c r="K289" s="92"/>
      <c r="L289" s="92"/>
      <c r="M289" s="92"/>
      <c r="N289" s="92"/>
      <c r="O289" s="1"/>
      <c r="P289" s="1"/>
      <c r="Q289" s="1"/>
      <c r="R289" s="1"/>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row>
    <row r="290" spans="1:64" x14ac:dyDescent="0.25">
      <c r="A290" s="1"/>
      <c r="B290" s="92"/>
      <c r="C290" s="92"/>
      <c r="D290" s="92"/>
      <c r="E290" s="92"/>
      <c r="F290" s="92"/>
      <c r="G290" s="92"/>
      <c r="H290" s="92"/>
      <c r="I290" s="92"/>
      <c r="J290" s="92"/>
      <c r="K290" s="92"/>
      <c r="L290" s="92"/>
      <c r="M290" s="92"/>
      <c r="N290" s="92"/>
      <c r="O290" s="1"/>
      <c r="P290" s="1"/>
      <c r="Q290" s="1"/>
      <c r="R290" s="1"/>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row>
    <row r="291" spans="1:64" x14ac:dyDescent="0.25">
      <c r="A291" s="1"/>
      <c r="B291" s="92"/>
      <c r="C291" s="92"/>
      <c r="D291" s="92"/>
      <c r="E291" s="92"/>
      <c r="F291" s="92"/>
      <c r="G291" s="92"/>
      <c r="H291" s="92"/>
      <c r="I291" s="92"/>
      <c r="J291" s="92"/>
      <c r="K291" s="92"/>
      <c r="L291" s="92"/>
      <c r="M291" s="92"/>
      <c r="N291" s="92"/>
      <c r="O291" s="1"/>
      <c r="P291" s="1"/>
      <c r="Q291" s="1"/>
      <c r="R291" s="1"/>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row>
    <row r="292" spans="1:64" x14ac:dyDescent="0.25">
      <c r="A292" s="1"/>
      <c r="B292" s="92"/>
      <c r="C292" s="92"/>
      <c r="D292" s="92"/>
      <c r="E292" s="92"/>
      <c r="F292" s="92"/>
      <c r="G292" s="92"/>
      <c r="H292" s="92"/>
      <c r="I292" s="92"/>
      <c r="J292" s="92"/>
      <c r="K292" s="92"/>
      <c r="L292" s="92"/>
      <c r="M292" s="92"/>
      <c r="N292" s="92"/>
      <c r="O292" s="1"/>
      <c r="P292" s="1"/>
      <c r="Q292" s="1"/>
      <c r="R292" s="1"/>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row>
    <row r="293" spans="1:64" x14ac:dyDescent="0.25">
      <c r="A293" s="1"/>
      <c r="B293" s="92"/>
      <c r="C293" s="92"/>
      <c r="D293" s="92"/>
      <c r="E293" s="92"/>
      <c r="F293" s="92"/>
      <c r="G293" s="92"/>
      <c r="H293" s="92"/>
      <c r="I293" s="92"/>
      <c r="J293" s="92"/>
      <c r="K293" s="92"/>
      <c r="L293" s="92"/>
      <c r="M293" s="92"/>
      <c r="N293" s="92"/>
      <c r="O293" s="1"/>
      <c r="P293" s="1"/>
      <c r="Q293" s="1"/>
      <c r="R293" s="1"/>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row>
    <row r="294" spans="1:64" x14ac:dyDescent="0.25">
      <c r="A294" s="1"/>
      <c r="B294" s="92"/>
      <c r="C294" s="92"/>
      <c r="D294" s="92"/>
      <c r="E294" s="92"/>
      <c r="F294" s="92"/>
      <c r="G294" s="92"/>
      <c r="H294" s="92"/>
      <c r="I294" s="92"/>
      <c r="J294" s="92"/>
      <c r="K294" s="92"/>
      <c r="L294" s="92"/>
      <c r="M294" s="92"/>
      <c r="N294" s="92"/>
      <c r="O294" s="1"/>
      <c r="P294" s="1"/>
      <c r="Q294" s="1"/>
      <c r="R294" s="1"/>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row>
    <row r="295" spans="1:64" x14ac:dyDescent="0.25">
      <c r="A295" s="1"/>
      <c r="B295" s="92"/>
      <c r="C295" s="92"/>
      <c r="D295" s="92"/>
      <c r="E295" s="92"/>
      <c r="F295" s="92"/>
      <c r="G295" s="92"/>
      <c r="H295" s="92"/>
      <c r="I295" s="92"/>
      <c r="J295" s="92"/>
      <c r="K295" s="92"/>
      <c r="L295" s="92"/>
      <c r="M295" s="92"/>
      <c r="N295" s="92"/>
      <c r="O295" s="1"/>
      <c r="P295" s="1"/>
      <c r="Q295" s="1"/>
      <c r="R295" s="1"/>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row>
    <row r="296" spans="1:64" x14ac:dyDescent="0.25">
      <c r="A296" s="1"/>
      <c r="B296" s="92"/>
      <c r="C296" s="92"/>
      <c r="D296" s="92"/>
      <c r="E296" s="92"/>
      <c r="F296" s="92"/>
      <c r="G296" s="92"/>
      <c r="H296" s="92"/>
      <c r="I296" s="92"/>
      <c r="J296" s="92"/>
      <c r="K296" s="92"/>
      <c r="L296" s="92"/>
      <c r="M296" s="92"/>
      <c r="N296" s="92"/>
      <c r="O296" s="1"/>
      <c r="P296" s="1"/>
      <c r="Q296" s="1"/>
      <c r="R296" s="1"/>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row>
    <row r="297" spans="1:64" x14ac:dyDescent="0.25">
      <c r="A297" s="1"/>
      <c r="B297" s="92"/>
      <c r="C297" s="92"/>
      <c r="D297" s="92"/>
      <c r="E297" s="92"/>
      <c r="F297" s="92"/>
      <c r="G297" s="92"/>
      <c r="H297" s="92"/>
      <c r="I297" s="92"/>
      <c r="J297" s="92"/>
      <c r="K297" s="92"/>
      <c r="L297" s="92"/>
      <c r="M297" s="92"/>
      <c r="N297" s="92"/>
      <c r="O297" s="1"/>
      <c r="P297" s="1"/>
      <c r="Q297" s="1"/>
      <c r="R297" s="1"/>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row>
    <row r="298" spans="1:64" x14ac:dyDescent="0.25">
      <c r="A298" s="1"/>
      <c r="B298" s="92"/>
      <c r="C298" s="92"/>
      <c r="D298" s="92"/>
      <c r="E298" s="92"/>
      <c r="F298" s="92"/>
      <c r="G298" s="92"/>
      <c r="H298" s="92"/>
      <c r="I298" s="92"/>
      <c r="J298" s="92"/>
      <c r="K298" s="92"/>
      <c r="L298" s="92"/>
      <c r="M298" s="92"/>
      <c r="N298" s="92"/>
      <c r="O298" s="1"/>
      <c r="P298" s="1"/>
      <c r="Q298" s="1"/>
      <c r="R298" s="1"/>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row>
    <row r="299" spans="1:64" x14ac:dyDescent="0.25">
      <c r="A299" s="1"/>
      <c r="B299" s="92"/>
      <c r="C299" s="92"/>
      <c r="D299" s="92"/>
      <c r="E299" s="92"/>
      <c r="F299" s="92"/>
      <c r="G299" s="92"/>
      <c r="H299" s="92"/>
      <c r="I299" s="92"/>
      <c r="J299" s="92"/>
      <c r="K299" s="92"/>
      <c r="L299" s="92"/>
      <c r="M299" s="92"/>
      <c r="N299" s="92"/>
      <c r="O299" s="1"/>
      <c r="P299" s="1"/>
      <c r="Q299" s="1"/>
      <c r="R299" s="1"/>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row>
    <row r="300" spans="1:64" x14ac:dyDescent="0.25">
      <c r="A300" s="1"/>
      <c r="B300" s="92"/>
      <c r="C300" s="92"/>
      <c r="D300" s="92"/>
      <c r="E300" s="92"/>
      <c r="F300" s="92"/>
      <c r="G300" s="92"/>
      <c r="H300" s="92"/>
      <c r="I300" s="92"/>
      <c r="J300" s="92"/>
      <c r="K300" s="92"/>
      <c r="L300" s="92"/>
      <c r="M300" s="92"/>
      <c r="N300" s="92"/>
      <c r="O300" s="1"/>
      <c r="P300" s="1"/>
      <c r="Q300" s="1"/>
      <c r="R300" s="1"/>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row>
    <row r="301" spans="1:64" x14ac:dyDescent="0.25">
      <c r="A301" s="1"/>
      <c r="B301" s="92"/>
      <c r="C301" s="92"/>
      <c r="D301" s="92"/>
      <c r="E301" s="92"/>
      <c r="F301" s="92"/>
      <c r="G301" s="92"/>
      <c r="H301" s="92"/>
      <c r="I301" s="92"/>
      <c r="J301" s="92"/>
      <c r="K301" s="92"/>
      <c r="L301" s="92"/>
      <c r="M301" s="92"/>
      <c r="N301" s="92"/>
      <c r="O301" s="1"/>
      <c r="P301" s="1"/>
      <c r="Q301" s="1"/>
      <c r="R301" s="1"/>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row>
    <row r="302" spans="1:64" x14ac:dyDescent="0.25">
      <c r="A302" s="1"/>
      <c r="B302" s="92"/>
      <c r="C302" s="92"/>
      <c r="D302" s="92"/>
      <c r="E302" s="92"/>
      <c r="F302" s="92"/>
      <c r="G302" s="92"/>
      <c r="H302" s="92"/>
      <c r="I302" s="92"/>
      <c r="J302" s="92"/>
      <c r="K302" s="92"/>
      <c r="L302" s="92"/>
      <c r="M302" s="92"/>
      <c r="N302" s="92"/>
      <c r="O302" s="1"/>
      <c r="P302" s="1"/>
      <c r="Q302" s="1"/>
      <c r="R302" s="1"/>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row>
    <row r="303" spans="1:64" x14ac:dyDescent="0.25">
      <c r="A303" s="1"/>
      <c r="B303" s="92"/>
      <c r="C303" s="92"/>
      <c r="D303" s="92"/>
      <c r="E303" s="92"/>
      <c r="F303" s="92"/>
      <c r="G303" s="92"/>
      <c r="H303" s="92"/>
      <c r="I303" s="92"/>
      <c r="J303" s="92"/>
      <c r="K303" s="92"/>
      <c r="L303" s="92"/>
      <c r="M303" s="92"/>
      <c r="N303" s="92"/>
      <c r="O303" s="1"/>
      <c r="P303" s="1"/>
      <c r="Q303" s="1"/>
      <c r="R303" s="1"/>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row>
    <row r="304" spans="1:64" x14ac:dyDescent="0.25">
      <c r="A304" s="1"/>
      <c r="B304" s="92"/>
      <c r="C304" s="92"/>
      <c r="D304" s="92"/>
      <c r="E304" s="92"/>
      <c r="F304" s="92"/>
      <c r="G304" s="92"/>
      <c r="H304" s="92"/>
      <c r="I304" s="92"/>
      <c r="J304" s="92"/>
      <c r="K304" s="92"/>
      <c r="L304" s="92"/>
      <c r="M304" s="92"/>
      <c r="N304" s="92"/>
      <c r="O304" s="1"/>
      <c r="P304" s="1"/>
      <c r="Q304" s="1"/>
      <c r="R304" s="1"/>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row>
    <row r="305" spans="1:64" x14ac:dyDescent="0.25">
      <c r="A305" s="1"/>
      <c r="B305" s="92"/>
      <c r="C305" s="92"/>
      <c r="D305" s="92"/>
      <c r="E305" s="92"/>
      <c r="F305" s="92"/>
      <c r="G305" s="92"/>
      <c r="H305" s="92"/>
      <c r="I305" s="92"/>
      <c r="J305" s="92"/>
      <c r="K305" s="92"/>
      <c r="L305" s="92"/>
      <c r="M305" s="92"/>
      <c r="N305" s="92"/>
      <c r="O305" s="1"/>
      <c r="P305" s="1"/>
      <c r="Q305" s="1"/>
      <c r="R305" s="1"/>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row>
    <row r="306" spans="1:64" x14ac:dyDescent="0.25">
      <c r="A306" s="1"/>
      <c r="B306" s="92"/>
      <c r="C306" s="92"/>
      <c r="D306" s="92"/>
      <c r="E306" s="92"/>
      <c r="F306" s="92"/>
      <c r="G306" s="92"/>
      <c r="H306" s="92"/>
      <c r="I306" s="92"/>
      <c r="J306" s="92"/>
      <c r="K306" s="92"/>
      <c r="L306" s="92"/>
      <c r="M306" s="92"/>
      <c r="N306" s="92"/>
      <c r="O306" s="1"/>
      <c r="P306" s="1"/>
      <c r="Q306" s="1"/>
      <c r="R306" s="1"/>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row>
    <row r="307" spans="1:64" x14ac:dyDescent="0.25">
      <c r="A307" s="1"/>
      <c r="B307" s="92"/>
      <c r="C307" s="92"/>
      <c r="D307" s="92"/>
      <c r="E307" s="92"/>
      <c r="F307" s="92"/>
      <c r="G307" s="92"/>
      <c r="H307" s="92"/>
      <c r="I307" s="92"/>
      <c r="J307" s="92"/>
      <c r="K307" s="92"/>
      <c r="L307" s="92"/>
      <c r="M307" s="92"/>
      <c r="N307" s="92"/>
      <c r="O307" s="1"/>
      <c r="P307" s="1"/>
      <c r="Q307" s="1"/>
      <c r="R307" s="1"/>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row>
    <row r="308" spans="1:64" x14ac:dyDescent="0.25">
      <c r="A308" s="1"/>
      <c r="B308" s="92"/>
      <c r="C308" s="92"/>
      <c r="D308" s="92"/>
      <c r="E308" s="92"/>
      <c r="F308" s="92"/>
      <c r="G308" s="92"/>
      <c r="H308" s="92"/>
      <c r="I308" s="92"/>
      <c r="J308" s="92"/>
      <c r="K308" s="92"/>
      <c r="L308" s="92"/>
      <c r="M308" s="92"/>
      <c r="N308" s="92"/>
      <c r="O308" s="1"/>
      <c r="P308" s="1"/>
      <c r="Q308" s="1"/>
      <c r="R308" s="1"/>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row>
    <row r="309" spans="1:64" x14ac:dyDescent="0.25">
      <c r="A309" s="1"/>
      <c r="B309" s="92"/>
      <c r="C309" s="92"/>
      <c r="D309" s="92"/>
      <c r="E309" s="92"/>
      <c r="F309" s="92"/>
      <c r="G309" s="92"/>
      <c r="H309" s="92"/>
      <c r="I309" s="92"/>
      <c r="J309" s="92"/>
      <c r="K309" s="92"/>
      <c r="L309" s="92"/>
      <c r="M309" s="92"/>
      <c r="N309" s="92"/>
      <c r="O309" s="1"/>
      <c r="P309" s="1"/>
      <c r="Q309" s="1"/>
      <c r="R309" s="1"/>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row>
    <row r="310" spans="1:64" x14ac:dyDescent="0.25">
      <c r="A310" s="1"/>
      <c r="B310" s="92"/>
      <c r="C310" s="92"/>
      <c r="D310" s="92"/>
      <c r="E310" s="92"/>
      <c r="F310" s="92"/>
      <c r="G310" s="92"/>
      <c r="H310" s="92"/>
      <c r="I310" s="92"/>
      <c r="J310" s="92"/>
      <c r="K310" s="92"/>
      <c r="L310" s="92"/>
      <c r="M310" s="92"/>
      <c r="N310" s="92"/>
      <c r="O310" s="1"/>
      <c r="P310" s="1"/>
      <c r="Q310" s="1"/>
      <c r="R310" s="1"/>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row>
    <row r="311" spans="1:64" x14ac:dyDescent="0.25">
      <c r="A311" s="1"/>
      <c r="B311" s="92"/>
      <c r="C311" s="92"/>
      <c r="D311" s="92"/>
      <c r="E311" s="92"/>
      <c r="F311" s="92"/>
      <c r="G311" s="92"/>
      <c r="H311" s="92"/>
      <c r="I311" s="92"/>
      <c r="J311" s="92"/>
      <c r="K311" s="92"/>
      <c r="L311" s="92"/>
      <c r="M311" s="92"/>
      <c r="N311" s="92"/>
      <c r="O311" s="1"/>
      <c r="P311" s="1"/>
      <c r="Q311" s="1"/>
      <c r="R311" s="1"/>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row>
    <row r="312" spans="1:64" x14ac:dyDescent="0.25">
      <c r="A312" s="1"/>
      <c r="B312" s="92"/>
      <c r="C312" s="92"/>
      <c r="D312" s="92"/>
      <c r="E312" s="92"/>
      <c r="F312" s="92"/>
      <c r="G312" s="92"/>
      <c r="H312" s="92"/>
      <c r="I312" s="92"/>
      <c r="J312" s="92"/>
      <c r="K312" s="92"/>
      <c r="L312" s="92"/>
      <c r="M312" s="92"/>
      <c r="N312" s="92"/>
      <c r="O312" s="1"/>
      <c r="P312" s="1"/>
      <c r="Q312" s="1"/>
      <c r="R312" s="1"/>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row>
    <row r="313" spans="1:64" x14ac:dyDescent="0.25">
      <c r="A313" s="1"/>
      <c r="B313" s="92"/>
      <c r="C313" s="92"/>
      <c r="D313" s="92"/>
      <c r="E313" s="92"/>
      <c r="F313" s="92"/>
      <c r="G313" s="92"/>
      <c r="H313" s="92"/>
      <c r="I313" s="92"/>
      <c r="J313" s="92"/>
      <c r="K313" s="92"/>
      <c r="L313" s="92"/>
      <c r="M313" s="92"/>
      <c r="N313" s="92"/>
      <c r="O313" s="1"/>
      <c r="P313" s="1"/>
      <c r="Q313" s="1"/>
      <c r="R313" s="1"/>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row>
    <row r="314" spans="1:64" x14ac:dyDescent="0.25">
      <c r="A314" s="1"/>
      <c r="B314" s="92"/>
      <c r="C314" s="92"/>
      <c r="D314" s="92"/>
      <c r="E314" s="92"/>
      <c r="F314" s="92"/>
      <c r="G314" s="92"/>
      <c r="H314" s="92"/>
      <c r="I314" s="92"/>
      <c r="J314" s="92"/>
      <c r="K314" s="92"/>
      <c r="L314" s="92"/>
      <c r="M314" s="92"/>
      <c r="N314" s="92"/>
      <c r="O314" s="1"/>
      <c r="P314" s="1"/>
      <c r="Q314" s="1"/>
      <c r="R314" s="1"/>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row>
    <row r="315" spans="1:64" x14ac:dyDescent="0.25">
      <c r="A315" s="1"/>
      <c r="B315" s="92"/>
      <c r="C315" s="92"/>
      <c r="D315" s="92"/>
      <c r="E315" s="92"/>
      <c r="F315" s="92"/>
      <c r="G315" s="92"/>
      <c r="H315" s="92"/>
      <c r="I315" s="92"/>
      <c r="J315" s="92"/>
      <c r="K315" s="92"/>
      <c r="L315" s="92"/>
      <c r="M315" s="92"/>
      <c r="N315" s="92"/>
      <c r="O315" s="1"/>
      <c r="P315" s="1"/>
      <c r="Q315" s="1"/>
      <c r="R315" s="1"/>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row>
    <row r="316" spans="1:64" x14ac:dyDescent="0.25">
      <c r="A316" s="1"/>
      <c r="B316" s="92"/>
      <c r="C316" s="92"/>
      <c r="D316" s="92"/>
      <c r="E316" s="92"/>
      <c r="F316" s="92"/>
      <c r="G316" s="92"/>
      <c r="H316" s="92"/>
      <c r="I316" s="92"/>
      <c r="J316" s="92"/>
      <c r="K316" s="92"/>
      <c r="L316" s="92"/>
      <c r="M316" s="92"/>
      <c r="N316" s="92"/>
      <c r="O316" s="1"/>
      <c r="P316" s="1"/>
      <c r="Q316" s="1"/>
      <c r="R316" s="1"/>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row>
    <row r="317" spans="1:64" x14ac:dyDescent="0.25">
      <c r="A317" s="1"/>
      <c r="B317" s="92"/>
      <c r="C317" s="92"/>
      <c r="D317" s="92"/>
      <c r="E317" s="92"/>
      <c r="F317" s="92"/>
      <c r="G317" s="92"/>
      <c r="H317" s="92"/>
      <c r="I317" s="92"/>
      <c r="J317" s="92"/>
      <c r="K317" s="92"/>
      <c r="L317" s="92"/>
      <c r="M317" s="92"/>
      <c r="N317" s="92"/>
      <c r="O317" s="1"/>
      <c r="P317" s="1"/>
      <c r="Q317" s="1"/>
      <c r="R317" s="1"/>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row>
    <row r="318" spans="1:64" x14ac:dyDescent="0.25">
      <c r="A318" s="1"/>
      <c r="B318" s="92"/>
      <c r="C318" s="92"/>
      <c r="D318" s="92"/>
      <c r="E318" s="92"/>
      <c r="F318" s="92"/>
      <c r="G318" s="92"/>
      <c r="H318" s="92"/>
      <c r="I318" s="92"/>
      <c r="J318" s="92"/>
      <c r="K318" s="92"/>
      <c r="L318" s="92"/>
      <c r="M318" s="92"/>
      <c r="N318" s="92"/>
      <c r="O318" s="1"/>
      <c r="P318" s="1"/>
      <c r="Q318" s="1"/>
      <c r="R318" s="1"/>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row>
    <row r="319" spans="1:64" x14ac:dyDescent="0.25">
      <c r="A319" s="1"/>
      <c r="B319" s="92"/>
      <c r="C319" s="92"/>
      <c r="D319" s="92"/>
      <c r="E319" s="92"/>
      <c r="F319" s="92"/>
      <c r="G319" s="92"/>
      <c r="H319" s="92"/>
      <c r="I319" s="92"/>
      <c r="J319" s="92"/>
      <c r="K319" s="92"/>
      <c r="L319" s="92"/>
      <c r="M319" s="92"/>
      <c r="N319" s="92"/>
      <c r="O319" s="1"/>
      <c r="P319" s="1"/>
      <c r="Q319" s="1"/>
      <c r="R319" s="1"/>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row>
    <row r="320" spans="1:64" x14ac:dyDescent="0.25">
      <c r="A320" s="1"/>
      <c r="B320" s="92"/>
      <c r="C320" s="92"/>
      <c r="D320" s="92"/>
      <c r="E320" s="92"/>
      <c r="F320" s="92"/>
      <c r="G320" s="92"/>
      <c r="H320" s="92"/>
      <c r="I320" s="92"/>
      <c r="J320" s="92"/>
      <c r="K320" s="92"/>
      <c r="L320" s="92"/>
      <c r="M320" s="92"/>
      <c r="N320" s="92"/>
      <c r="O320" s="1"/>
      <c r="P320" s="1"/>
      <c r="Q320" s="1"/>
      <c r="R320" s="1"/>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row>
    <row r="321" spans="1:64" x14ac:dyDescent="0.25">
      <c r="A321" s="1"/>
      <c r="B321" s="92"/>
      <c r="C321" s="92"/>
      <c r="D321" s="92"/>
      <c r="E321" s="92"/>
      <c r="F321" s="92"/>
      <c r="G321" s="92"/>
      <c r="H321" s="92"/>
      <c r="I321" s="92"/>
      <c r="J321" s="92"/>
      <c r="K321" s="92"/>
      <c r="L321" s="92"/>
      <c r="M321" s="92"/>
      <c r="N321" s="92"/>
      <c r="O321" s="1"/>
      <c r="P321" s="1"/>
      <c r="Q321" s="1"/>
      <c r="R321" s="1"/>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row>
    <row r="322" spans="1:64" x14ac:dyDescent="0.25">
      <c r="A322" s="1"/>
      <c r="B322" s="92"/>
      <c r="C322" s="92"/>
      <c r="D322" s="92"/>
      <c r="E322" s="92"/>
      <c r="F322" s="92"/>
      <c r="G322" s="92"/>
      <c r="H322" s="92"/>
      <c r="I322" s="92"/>
      <c r="J322" s="92"/>
      <c r="K322" s="92"/>
      <c r="L322" s="92"/>
      <c r="M322" s="92"/>
      <c r="N322" s="92"/>
      <c r="O322" s="1"/>
      <c r="P322" s="1"/>
      <c r="Q322" s="1"/>
      <c r="R322" s="1"/>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row>
    <row r="323" spans="1:64" x14ac:dyDescent="0.25">
      <c r="A323" s="1"/>
      <c r="B323" s="92"/>
      <c r="C323" s="92"/>
      <c r="D323" s="92"/>
      <c r="E323" s="92"/>
      <c r="F323" s="92"/>
      <c r="G323" s="92"/>
      <c r="H323" s="92"/>
      <c r="I323" s="92"/>
      <c r="J323" s="92"/>
      <c r="K323" s="92"/>
      <c r="L323" s="92"/>
      <c r="M323" s="92"/>
      <c r="N323" s="92"/>
      <c r="O323" s="1"/>
      <c r="P323" s="1"/>
      <c r="Q323" s="1"/>
      <c r="R323" s="1"/>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row>
    <row r="324" spans="1:64" x14ac:dyDescent="0.25">
      <c r="A324" s="1"/>
      <c r="B324" s="92"/>
      <c r="C324" s="92"/>
      <c r="D324" s="92"/>
      <c r="E324" s="92"/>
      <c r="F324" s="92"/>
      <c r="G324" s="92"/>
      <c r="H324" s="92"/>
      <c r="I324" s="92"/>
      <c r="J324" s="92"/>
      <c r="K324" s="92"/>
      <c r="L324" s="92"/>
      <c r="M324" s="92"/>
      <c r="N324" s="92"/>
      <c r="O324" s="1"/>
      <c r="P324" s="1"/>
      <c r="Q324" s="1"/>
      <c r="R324" s="1"/>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row>
    <row r="325" spans="1:64" x14ac:dyDescent="0.25">
      <c r="A325" s="1"/>
      <c r="B325" s="92"/>
      <c r="C325" s="92"/>
      <c r="D325" s="92"/>
      <c r="E325" s="92"/>
      <c r="F325" s="92"/>
      <c r="G325" s="92"/>
      <c r="H325" s="92"/>
      <c r="I325" s="92"/>
      <c r="J325" s="92"/>
      <c r="K325" s="92"/>
      <c r="L325" s="92"/>
      <c r="M325" s="92"/>
      <c r="N325" s="92"/>
      <c r="O325" s="1"/>
      <c r="P325" s="1"/>
      <c r="Q325" s="1"/>
      <c r="R325" s="1"/>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row>
    <row r="326" spans="1:64" x14ac:dyDescent="0.25">
      <c r="A326" s="1"/>
      <c r="B326" s="92"/>
      <c r="C326" s="92"/>
      <c r="D326" s="92"/>
      <c r="E326" s="92"/>
      <c r="F326" s="92"/>
      <c r="G326" s="92"/>
      <c r="H326" s="92"/>
      <c r="I326" s="92"/>
      <c r="J326" s="92"/>
      <c r="K326" s="92"/>
      <c r="L326" s="92"/>
      <c r="M326" s="92"/>
      <c r="N326" s="92"/>
      <c r="O326" s="1"/>
      <c r="P326" s="1"/>
      <c r="Q326" s="1"/>
      <c r="R326" s="1"/>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row>
    <row r="327" spans="1:64" x14ac:dyDescent="0.25">
      <c r="A327" s="1"/>
      <c r="B327" s="92"/>
      <c r="C327" s="92"/>
      <c r="D327" s="92"/>
      <c r="E327" s="92"/>
      <c r="F327" s="92"/>
      <c r="G327" s="92"/>
      <c r="H327" s="92"/>
      <c r="I327" s="92"/>
      <c r="J327" s="92"/>
      <c r="K327" s="92"/>
      <c r="L327" s="92"/>
      <c r="M327" s="92"/>
      <c r="N327" s="92"/>
      <c r="O327" s="1"/>
      <c r="P327" s="1"/>
      <c r="Q327" s="1"/>
      <c r="R327" s="1"/>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row>
    <row r="328" spans="1:64" x14ac:dyDescent="0.25">
      <c r="A328" s="1"/>
      <c r="B328" s="92"/>
      <c r="C328" s="92"/>
      <c r="D328" s="92"/>
      <c r="E328" s="92"/>
      <c r="F328" s="92"/>
      <c r="G328" s="92"/>
      <c r="H328" s="92"/>
      <c r="I328" s="92"/>
      <c r="J328" s="92"/>
      <c r="K328" s="92"/>
      <c r="L328" s="92"/>
      <c r="M328" s="92"/>
      <c r="N328" s="92"/>
      <c r="O328" s="1"/>
      <c r="P328" s="1"/>
      <c r="Q328" s="1"/>
      <c r="R328" s="1"/>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row>
    <row r="329" spans="1:64" x14ac:dyDescent="0.25">
      <c r="A329" s="1"/>
      <c r="B329" s="92"/>
      <c r="C329" s="92"/>
      <c r="D329" s="92"/>
      <c r="E329" s="92"/>
      <c r="F329" s="92"/>
      <c r="G329" s="92"/>
      <c r="H329" s="92"/>
      <c r="I329" s="92"/>
      <c r="J329" s="92"/>
      <c r="K329" s="92"/>
      <c r="L329" s="92"/>
      <c r="M329" s="92"/>
      <c r="N329" s="92"/>
      <c r="O329" s="1"/>
      <c r="P329" s="1"/>
      <c r="Q329" s="1"/>
      <c r="R329" s="1"/>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row>
    <row r="330" spans="1:64" x14ac:dyDescent="0.25">
      <c r="A330" s="1"/>
      <c r="B330" s="92"/>
      <c r="C330" s="92"/>
      <c r="D330" s="92"/>
      <c r="E330" s="92"/>
      <c r="F330" s="92"/>
      <c r="G330" s="92"/>
      <c r="H330" s="92"/>
      <c r="I330" s="92"/>
      <c r="J330" s="92"/>
      <c r="K330" s="92"/>
      <c r="L330" s="92"/>
      <c r="M330" s="92"/>
      <c r="N330" s="92"/>
      <c r="O330" s="1"/>
      <c r="P330" s="1"/>
      <c r="Q330" s="1"/>
      <c r="R330" s="1"/>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row>
    <row r="331" spans="1:64" x14ac:dyDescent="0.25">
      <c r="A331" s="1"/>
      <c r="B331" s="92"/>
      <c r="C331" s="92"/>
      <c r="D331" s="92"/>
      <c r="E331" s="92"/>
      <c r="F331" s="92"/>
      <c r="G331" s="92"/>
      <c r="H331" s="92"/>
      <c r="I331" s="92"/>
      <c r="J331" s="92"/>
      <c r="K331" s="92"/>
      <c r="L331" s="92"/>
      <c r="M331" s="92"/>
      <c r="N331" s="92"/>
      <c r="O331" s="1"/>
      <c r="P331" s="1"/>
      <c r="Q331" s="1"/>
      <c r="R331" s="1"/>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row>
    <row r="332" spans="1:64" x14ac:dyDescent="0.25">
      <c r="A332" s="1"/>
      <c r="B332" s="92"/>
      <c r="C332" s="92"/>
      <c r="D332" s="92"/>
      <c r="E332" s="92"/>
      <c r="F332" s="92"/>
      <c r="G332" s="92"/>
      <c r="H332" s="92"/>
      <c r="I332" s="92"/>
      <c r="J332" s="92"/>
      <c r="K332" s="92"/>
      <c r="L332" s="92"/>
      <c r="M332" s="92"/>
      <c r="N332" s="92"/>
      <c r="O332" s="1"/>
      <c r="P332" s="1"/>
      <c r="Q332" s="1"/>
      <c r="R332" s="1"/>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row>
    <row r="333" spans="1:64" x14ac:dyDescent="0.25">
      <c r="A333" s="1"/>
      <c r="B333" s="92"/>
      <c r="C333" s="92"/>
      <c r="D333" s="92"/>
      <c r="E333" s="92"/>
      <c r="F333" s="92"/>
      <c r="G333" s="92"/>
      <c r="H333" s="92"/>
      <c r="I333" s="92"/>
      <c r="J333" s="92"/>
      <c r="K333" s="92"/>
      <c r="L333" s="92"/>
      <c r="M333" s="92"/>
      <c r="N333" s="92"/>
      <c r="O333" s="1"/>
      <c r="P333" s="1"/>
      <c r="Q333" s="1"/>
      <c r="R333" s="1"/>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row>
    <row r="334" spans="1:64" x14ac:dyDescent="0.25">
      <c r="A334" s="1"/>
      <c r="B334" s="92"/>
      <c r="C334" s="92"/>
      <c r="D334" s="92"/>
      <c r="E334" s="92"/>
      <c r="F334" s="92"/>
      <c r="G334" s="92"/>
      <c r="H334" s="92"/>
      <c r="I334" s="92"/>
      <c r="J334" s="92"/>
      <c r="K334" s="92"/>
      <c r="L334" s="92"/>
      <c r="M334" s="92"/>
      <c r="N334" s="92"/>
      <c r="O334" s="1"/>
      <c r="P334" s="1"/>
      <c r="Q334" s="1"/>
      <c r="R334" s="1"/>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row>
    <row r="335" spans="1:64" x14ac:dyDescent="0.25">
      <c r="A335" s="1"/>
      <c r="B335" s="92"/>
      <c r="C335" s="92"/>
      <c r="D335" s="92"/>
      <c r="E335" s="92"/>
      <c r="F335" s="92"/>
      <c r="G335" s="92"/>
      <c r="H335" s="92"/>
      <c r="I335" s="92"/>
      <c r="J335" s="92"/>
      <c r="K335" s="92"/>
      <c r="L335" s="92"/>
      <c r="M335" s="92"/>
      <c r="N335" s="92"/>
      <c r="O335" s="1"/>
      <c r="P335" s="1"/>
      <c r="Q335" s="1"/>
      <c r="R335" s="1"/>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row>
    <row r="336" spans="1:64" x14ac:dyDescent="0.25">
      <c r="A336" s="1"/>
      <c r="B336" s="92"/>
      <c r="C336" s="92"/>
      <c r="D336" s="92"/>
      <c r="E336" s="92"/>
      <c r="F336" s="92"/>
      <c r="G336" s="92"/>
      <c r="H336" s="92"/>
      <c r="I336" s="92"/>
      <c r="J336" s="92"/>
      <c r="K336" s="92"/>
      <c r="L336" s="92"/>
      <c r="M336" s="92"/>
      <c r="N336" s="92"/>
      <c r="O336" s="1"/>
      <c r="P336" s="1"/>
      <c r="Q336" s="1"/>
      <c r="R336" s="1"/>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row>
    <row r="337" spans="1:64" x14ac:dyDescent="0.25">
      <c r="A337" s="1"/>
      <c r="B337" s="92"/>
      <c r="C337" s="92"/>
      <c r="D337" s="92"/>
      <c r="E337" s="92"/>
      <c r="F337" s="92"/>
      <c r="G337" s="92"/>
      <c r="H337" s="92"/>
      <c r="I337" s="92"/>
      <c r="J337" s="92"/>
      <c r="K337" s="92"/>
      <c r="L337" s="92"/>
      <c r="M337" s="92"/>
      <c r="N337" s="92"/>
      <c r="O337" s="1"/>
      <c r="P337" s="1"/>
      <c r="Q337" s="1"/>
      <c r="R337" s="1"/>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row>
    <row r="338" spans="1:64" x14ac:dyDescent="0.25">
      <c r="A338" s="1"/>
      <c r="B338" s="92"/>
      <c r="C338" s="92"/>
      <c r="D338" s="92"/>
      <c r="E338" s="92"/>
      <c r="F338" s="92"/>
      <c r="G338" s="92"/>
      <c r="H338" s="92"/>
      <c r="I338" s="92"/>
      <c r="J338" s="92"/>
      <c r="K338" s="92"/>
      <c r="L338" s="92"/>
      <c r="M338" s="92"/>
      <c r="N338" s="92"/>
      <c r="O338" s="1"/>
      <c r="P338" s="1"/>
      <c r="Q338" s="1"/>
      <c r="R338" s="1"/>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row>
    <row r="339" spans="1:64" x14ac:dyDescent="0.25">
      <c r="A339" s="1"/>
      <c r="B339" s="92"/>
      <c r="C339" s="92"/>
      <c r="D339" s="92"/>
      <c r="E339" s="92"/>
      <c r="F339" s="92"/>
      <c r="G339" s="92"/>
      <c r="H339" s="92"/>
      <c r="I339" s="92"/>
      <c r="J339" s="92"/>
      <c r="K339" s="92"/>
      <c r="L339" s="92"/>
      <c r="M339" s="92"/>
      <c r="N339" s="92"/>
      <c r="O339" s="1"/>
      <c r="P339" s="1"/>
      <c r="Q339" s="1"/>
      <c r="R339" s="1"/>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row>
    <row r="340" spans="1:64" x14ac:dyDescent="0.25">
      <c r="A340" s="1"/>
      <c r="B340" s="92"/>
      <c r="C340" s="92"/>
      <c r="D340" s="92"/>
      <c r="E340" s="92"/>
      <c r="F340" s="92"/>
      <c r="G340" s="92"/>
      <c r="H340" s="92"/>
      <c r="I340" s="92"/>
      <c r="J340" s="92"/>
      <c r="K340" s="92"/>
      <c r="L340" s="92"/>
      <c r="M340" s="92"/>
      <c r="N340" s="92"/>
      <c r="O340" s="1"/>
      <c r="P340" s="1"/>
      <c r="Q340" s="1"/>
      <c r="R340" s="1"/>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row>
    <row r="341" spans="1:64" x14ac:dyDescent="0.25">
      <c r="A341" s="1"/>
      <c r="B341" s="92"/>
      <c r="C341" s="92"/>
      <c r="D341" s="92"/>
      <c r="E341" s="92"/>
      <c r="F341" s="92"/>
      <c r="G341" s="92"/>
      <c r="H341" s="92"/>
      <c r="I341" s="92"/>
      <c r="J341" s="92"/>
      <c r="K341" s="92"/>
      <c r="L341" s="92"/>
      <c r="M341" s="92"/>
      <c r="N341" s="92"/>
      <c r="O341" s="1"/>
      <c r="P341" s="1"/>
      <c r="Q341" s="1"/>
      <c r="R341" s="1"/>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row>
    <row r="342" spans="1:64" x14ac:dyDescent="0.25">
      <c r="A342" s="1"/>
      <c r="B342" s="92"/>
      <c r="C342" s="92"/>
      <c r="D342" s="92"/>
      <c r="E342" s="92"/>
      <c r="F342" s="92"/>
      <c r="G342" s="92"/>
      <c r="H342" s="92"/>
      <c r="I342" s="92"/>
      <c r="J342" s="92"/>
      <c r="K342" s="92"/>
      <c r="L342" s="92"/>
      <c r="M342" s="92"/>
      <c r="N342" s="92"/>
      <c r="O342" s="1"/>
      <c r="P342" s="1"/>
      <c r="Q342" s="1"/>
      <c r="R342" s="1"/>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row>
    <row r="343" spans="1:64" x14ac:dyDescent="0.25">
      <c r="A343" s="1"/>
      <c r="B343" s="92"/>
      <c r="C343" s="92"/>
      <c r="D343" s="92"/>
      <c r="E343" s="92"/>
      <c r="F343" s="92"/>
      <c r="G343" s="92"/>
      <c r="H343" s="92"/>
      <c r="I343" s="92"/>
      <c r="J343" s="92"/>
      <c r="K343" s="92"/>
      <c r="L343" s="92"/>
      <c r="M343" s="92"/>
      <c r="N343" s="92"/>
      <c r="O343" s="1"/>
      <c r="P343" s="1"/>
      <c r="Q343" s="1"/>
      <c r="R343" s="1"/>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row>
    <row r="344" spans="1:64" x14ac:dyDescent="0.25">
      <c r="A344" s="1"/>
      <c r="B344" s="92"/>
      <c r="C344" s="92"/>
      <c r="D344" s="92"/>
      <c r="E344" s="92"/>
      <c r="F344" s="92"/>
      <c r="G344" s="92"/>
      <c r="H344" s="92"/>
      <c r="I344" s="92"/>
      <c r="J344" s="92"/>
      <c r="K344" s="92"/>
      <c r="L344" s="92"/>
      <c r="M344" s="92"/>
      <c r="N344" s="92"/>
      <c r="O344" s="1"/>
      <c r="P344" s="1"/>
      <c r="Q344" s="1"/>
      <c r="R344" s="1"/>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row>
    <row r="345" spans="1:64" x14ac:dyDescent="0.25">
      <c r="A345" s="1"/>
      <c r="B345" s="92"/>
      <c r="C345" s="92"/>
      <c r="D345" s="92"/>
      <c r="E345" s="92"/>
      <c r="F345" s="92"/>
      <c r="G345" s="92"/>
      <c r="H345" s="92"/>
      <c r="I345" s="92"/>
      <c r="J345" s="92"/>
      <c r="K345" s="92"/>
      <c r="L345" s="92"/>
      <c r="M345" s="92"/>
      <c r="N345" s="92"/>
      <c r="O345" s="1"/>
      <c r="P345" s="1"/>
      <c r="Q345" s="1"/>
      <c r="R345" s="1"/>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row>
    <row r="346" spans="1:64" x14ac:dyDescent="0.25">
      <c r="A346" s="1"/>
      <c r="B346" s="92"/>
      <c r="C346" s="92"/>
      <c r="D346" s="92"/>
      <c r="E346" s="92"/>
      <c r="F346" s="92"/>
      <c r="G346" s="92"/>
      <c r="H346" s="92"/>
      <c r="I346" s="92"/>
      <c r="J346" s="92"/>
      <c r="K346" s="92"/>
      <c r="L346" s="92"/>
      <c r="M346" s="92"/>
      <c r="N346" s="92"/>
      <c r="O346" s="1"/>
      <c r="P346" s="1"/>
      <c r="Q346" s="1"/>
      <c r="R346" s="1"/>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row>
    <row r="347" spans="1:64" x14ac:dyDescent="0.25">
      <c r="A347" s="1"/>
      <c r="B347" s="92"/>
      <c r="C347" s="92"/>
      <c r="D347" s="92"/>
      <c r="E347" s="92"/>
      <c r="F347" s="92"/>
      <c r="G347" s="92"/>
      <c r="H347" s="92"/>
      <c r="I347" s="92"/>
      <c r="J347" s="92"/>
      <c r="K347" s="92"/>
      <c r="L347" s="92"/>
      <c r="M347" s="92"/>
      <c r="N347" s="92"/>
      <c r="O347" s="1"/>
      <c r="P347" s="1"/>
      <c r="Q347" s="1"/>
      <c r="R347" s="1"/>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row>
    <row r="348" spans="1:64" x14ac:dyDescent="0.25">
      <c r="A348" s="1"/>
      <c r="B348" s="92"/>
      <c r="C348" s="92"/>
      <c r="D348" s="92"/>
      <c r="E348" s="92"/>
      <c r="F348" s="92"/>
      <c r="G348" s="92"/>
      <c r="H348" s="92"/>
      <c r="I348" s="92"/>
      <c r="J348" s="92"/>
      <c r="K348" s="92"/>
      <c r="L348" s="92"/>
      <c r="M348" s="92"/>
      <c r="N348" s="92"/>
      <c r="O348" s="1"/>
      <c r="P348" s="1"/>
      <c r="Q348" s="1"/>
      <c r="R348" s="1"/>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row>
    <row r="349" spans="1:64" x14ac:dyDescent="0.25">
      <c r="A349" s="1"/>
      <c r="B349" s="92"/>
      <c r="C349" s="92"/>
      <c r="D349" s="92"/>
      <c r="E349" s="92"/>
      <c r="F349" s="92"/>
      <c r="G349" s="92"/>
      <c r="H349" s="92"/>
      <c r="I349" s="92"/>
      <c r="J349" s="92"/>
      <c r="K349" s="92"/>
      <c r="L349" s="92"/>
      <c r="M349" s="92"/>
      <c r="N349" s="92"/>
      <c r="O349" s="1"/>
      <c r="P349" s="1"/>
      <c r="Q349" s="1"/>
      <c r="R349" s="1"/>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row>
    <row r="350" spans="1:64" x14ac:dyDescent="0.25">
      <c r="A350" s="1"/>
      <c r="B350" s="92"/>
      <c r="C350" s="92"/>
      <c r="D350" s="92"/>
      <c r="E350" s="92"/>
      <c r="F350" s="92"/>
      <c r="G350" s="92"/>
      <c r="H350" s="92"/>
      <c r="I350" s="92"/>
      <c r="J350" s="92"/>
      <c r="K350" s="92"/>
      <c r="L350" s="92"/>
      <c r="M350" s="92"/>
      <c r="N350" s="92"/>
      <c r="O350" s="1"/>
      <c r="P350" s="1"/>
      <c r="Q350" s="1"/>
      <c r="R350" s="1"/>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row>
    <row r="351" spans="1:64" x14ac:dyDescent="0.25">
      <c r="A351" s="1"/>
      <c r="B351" s="92"/>
      <c r="C351" s="92"/>
      <c r="D351" s="92"/>
      <c r="E351" s="92"/>
      <c r="F351" s="92"/>
      <c r="G351" s="92"/>
      <c r="H351" s="92"/>
      <c r="I351" s="92"/>
      <c r="J351" s="92"/>
      <c r="K351" s="92"/>
      <c r="L351" s="92"/>
      <c r="M351" s="92"/>
      <c r="N351" s="92"/>
      <c r="O351" s="1"/>
      <c r="P351" s="1"/>
      <c r="Q351" s="1"/>
      <c r="R351" s="1"/>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row>
    <row r="352" spans="1:64" x14ac:dyDescent="0.25">
      <c r="A352" s="1"/>
      <c r="B352" s="92"/>
      <c r="C352" s="92"/>
      <c r="D352" s="92"/>
      <c r="E352" s="92"/>
      <c r="F352" s="92"/>
      <c r="G352" s="92"/>
      <c r="H352" s="92"/>
      <c r="I352" s="92"/>
      <c r="J352" s="92"/>
      <c r="K352" s="92"/>
      <c r="L352" s="92"/>
      <c r="M352" s="92"/>
      <c r="N352" s="92"/>
      <c r="O352" s="1"/>
      <c r="P352" s="1"/>
      <c r="Q352" s="1"/>
      <c r="R352" s="1"/>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row>
    <row r="353" spans="1:64" x14ac:dyDescent="0.25">
      <c r="A353" s="1"/>
      <c r="B353" s="92"/>
      <c r="C353" s="92"/>
      <c r="D353" s="92"/>
      <c r="E353" s="92"/>
      <c r="F353" s="92"/>
      <c r="G353" s="92"/>
      <c r="H353" s="92"/>
      <c r="I353" s="92"/>
      <c r="J353" s="92"/>
      <c r="K353" s="92"/>
      <c r="L353" s="92"/>
      <c r="M353" s="92"/>
      <c r="N353" s="92"/>
      <c r="O353" s="1"/>
      <c r="P353" s="1"/>
      <c r="Q353" s="1"/>
      <c r="R353" s="1"/>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row>
    <row r="354" spans="1:64" x14ac:dyDescent="0.25">
      <c r="A354" s="1"/>
      <c r="B354" s="92"/>
      <c r="C354" s="92"/>
      <c r="D354" s="92"/>
      <c r="E354" s="92"/>
      <c r="F354" s="92"/>
      <c r="G354" s="92"/>
      <c r="H354" s="92"/>
      <c r="I354" s="92"/>
      <c r="J354" s="92"/>
      <c r="K354" s="92"/>
      <c r="L354" s="92"/>
      <c r="M354" s="92"/>
      <c r="N354" s="92"/>
      <c r="O354" s="1"/>
      <c r="P354" s="1"/>
      <c r="Q354" s="1"/>
      <c r="R354" s="1"/>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row>
    <row r="355" spans="1:64" x14ac:dyDescent="0.25">
      <c r="A355" s="1"/>
      <c r="B355" s="92"/>
      <c r="C355" s="92"/>
      <c r="D355" s="92"/>
      <c r="E355" s="92"/>
      <c r="F355" s="92"/>
      <c r="G355" s="92"/>
      <c r="H355" s="92"/>
      <c r="I355" s="92"/>
      <c r="J355" s="92"/>
      <c r="K355" s="92"/>
      <c r="L355" s="92"/>
      <c r="M355" s="92"/>
      <c r="N355" s="92"/>
      <c r="O355" s="1"/>
      <c r="P355" s="1"/>
      <c r="Q355" s="1"/>
      <c r="R355" s="1"/>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row>
    <row r="356" spans="1:64" x14ac:dyDescent="0.25">
      <c r="A356" s="1"/>
      <c r="B356" s="92"/>
      <c r="C356" s="92"/>
      <c r="D356" s="92"/>
      <c r="E356" s="92"/>
      <c r="F356" s="92"/>
      <c r="G356" s="92"/>
      <c r="H356" s="92"/>
      <c r="I356" s="92"/>
      <c r="J356" s="92"/>
      <c r="K356" s="92"/>
      <c r="L356" s="92"/>
      <c r="M356" s="92"/>
      <c r="N356" s="92"/>
      <c r="O356" s="1"/>
      <c r="P356" s="1"/>
      <c r="Q356" s="1"/>
      <c r="R356" s="1"/>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row>
    <row r="357" spans="1:64" x14ac:dyDescent="0.25">
      <c r="A357" s="1"/>
      <c r="B357" s="92"/>
      <c r="C357" s="92"/>
      <c r="D357" s="92"/>
      <c r="E357" s="92"/>
      <c r="F357" s="92"/>
      <c r="G357" s="92"/>
      <c r="H357" s="92"/>
      <c r="I357" s="92"/>
      <c r="J357" s="92"/>
      <c r="K357" s="92"/>
      <c r="L357" s="92"/>
      <c r="M357" s="92"/>
      <c r="N357" s="92"/>
      <c r="O357" s="1"/>
      <c r="P357" s="1"/>
      <c r="Q357" s="1"/>
      <c r="R357" s="1"/>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row>
    <row r="358" spans="1:64" x14ac:dyDescent="0.25">
      <c r="A358" s="1"/>
      <c r="B358" s="92"/>
      <c r="C358" s="92"/>
      <c r="D358" s="92"/>
      <c r="E358" s="92"/>
      <c r="F358" s="92"/>
      <c r="G358" s="92"/>
      <c r="H358" s="92"/>
      <c r="I358" s="92"/>
      <c r="J358" s="92"/>
      <c r="K358" s="92"/>
      <c r="L358" s="92"/>
      <c r="M358" s="92"/>
      <c r="N358" s="92"/>
      <c r="O358" s="1"/>
      <c r="P358" s="1"/>
      <c r="Q358" s="1"/>
      <c r="R358" s="1"/>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row>
    <row r="359" spans="1:64" x14ac:dyDescent="0.25">
      <c r="A359" s="1"/>
      <c r="B359" s="92"/>
      <c r="C359" s="92"/>
      <c r="D359" s="92"/>
      <c r="E359" s="92"/>
      <c r="F359" s="92"/>
      <c r="G359" s="92"/>
      <c r="H359" s="92"/>
      <c r="I359" s="92"/>
      <c r="J359" s="92"/>
      <c r="K359" s="92"/>
      <c r="L359" s="92"/>
      <c r="M359" s="92"/>
      <c r="N359" s="92"/>
      <c r="O359" s="1"/>
      <c r="P359" s="1"/>
      <c r="Q359" s="1"/>
      <c r="R359" s="1"/>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row>
    <row r="360" spans="1:64" x14ac:dyDescent="0.25">
      <c r="A360" s="1"/>
      <c r="B360" s="92"/>
      <c r="C360" s="92"/>
      <c r="D360" s="92"/>
      <c r="E360" s="92"/>
      <c r="F360" s="92"/>
      <c r="G360" s="92"/>
      <c r="H360" s="92"/>
      <c r="I360" s="92"/>
      <c r="J360" s="92"/>
      <c r="K360" s="92"/>
      <c r="L360" s="92"/>
      <c r="M360" s="92"/>
      <c r="N360" s="92"/>
      <c r="O360" s="1"/>
      <c r="P360" s="1"/>
      <c r="Q360" s="1"/>
      <c r="R360" s="1"/>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row>
    <row r="361" spans="1:64" x14ac:dyDescent="0.25">
      <c r="A361" s="1"/>
      <c r="B361" s="92"/>
      <c r="C361" s="92"/>
      <c r="D361" s="92"/>
      <c r="E361" s="92"/>
      <c r="F361" s="92"/>
      <c r="G361" s="92"/>
      <c r="H361" s="92"/>
      <c r="I361" s="92"/>
      <c r="J361" s="92"/>
      <c r="K361" s="92"/>
      <c r="L361" s="92"/>
      <c r="M361" s="92"/>
      <c r="N361" s="92"/>
      <c r="O361" s="1"/>
      <c r="P361" s="1"/>
      <c r="Q361" s="1"/>
      <c r="R361" s="1"/>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row>
    <row r="362" spans="1:64" x14ac:dyDescent="0.25">
      <c r="A362" s="1"/>
      <c r="B362" s="92"/>
      <c r="C362" s="92"/>
      <c r="D362" s="92"/>
      <c r="E362" s="92"/>
      <c r="F362" s="92"/>
      <c r="G362" s="92"/>
      <c r="H362" s="92"/>
      <c r="I362" s="92"/>
      <c r="J362" s="92"/>
      <c r="K362" s="92"/>
      <c r="L362" s="92"/>
      <c r="M362" s="92"/>
      <c r="N362" s="92"/>
      <c r="O362" s="1"/>
      <c r="P362" s="1"/>
      <c r="Q362" s="1"/>
      <c r="R362" s="1"/>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row>
    <row r="363" spans="1:64" x14ac:dyDescent="0.25">
      <c r="A363" s="1"/>
      <c r="B363" s="92"/>
      <c r="C363" s="92"/>
      <c r="D363" s="92"/>
      <c r="E363" s="92"/>
      <c r="F363" s="92"/>
      <c r="G363" s="92"/>
      <c r="H363" s="92"/>
      <c r="I363" s="92"/>
      <c r="J363" s="92"/>
      <c r="K363" s="92"/>
      <c r="L363" s="92"/>
      <c r="M363" s="92"/>
      <c r="N363" s="92"/>
      <c r="O363" s="1"/>
      <c r="P363" s="1"/>
      <c r="Q363" s="1"/>
      <c r="R363" s="1"/>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row>
    <row r="364" spans="1:64" x14ac:dyDescent="0.25">
      <c r="A364" s="1"/>
      <c r="B364" s="92"/>
      <c r="C364" s="92"/>
      <c r="D364" s="92"/>
      <c r="E364" s="92"/>
      <c r="F364" s="92"/>
      <c r="G364" s="92"/>
      <c r="H364" s="92"/>
      <c r="I364" s="92"/>
      <c r="J364" s="92"/>
      <c r="K364" s="92"/>
      <c r="L364" s="92"/>
      <c r="M364" s="92"/>
      <c r="N364" s="92"/>
      <c r="O364" s="1"/>
      <c r="P364" s="1"/>
      <c r="Q364" s="1"/>
      <c r="R364" s="1"/>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row>
    <row r="365" spans="1:64" x14ac:dyDescent="0.25">
      <c r="A365" s="1"/>
      <c r="B365" s="92"/>
      <c r="C365" s="92"/>
      <c r="D365" s="92"/>
      <c r="E365" s="92"/>
      <c r="F365" s="92"/>
      <c r="G365" s="92"/>
      <c r="H365" s="92"/>
      <c r="I365" s="92"/>
      <c r="J365" s="92"/>
      <c r="K365" s="92"/>
      <c r="L365" s="92"/>
      <c r="M365" s="92"/>
      <c r="N365" s="92"/>
      <c r="O365" s="1"/>
      <c r="P365" s="1"/>
      <c r="Q365" s="1"/>
      <c r="R365" s="1"/>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row>
    <row r="366" spans="1:64" x14ac:dyDescent="0.25">
      <c r="A366" s="1"/>
      <c r="B366" s="92"/>
      <c r="C366" s="92"/>
      <c r="D366" s="92"/>
      <c r="E366" s="92"/>
      <c r="F366" s="92"/>
      <c r="G366" s="92"/>
      <c r="H366" s="92"/>
      <c r="I366" s="92"/>
      <c r="J366" s="92"/>
      <c r="K366" s="92"/>
      <c r="L366" s="92"/>
      <c r="M366" s="92"/>
      <c r="N366" s="92"/>
      <c r="O366" s="1"/>
      <c r="P366" s="1"/>
      <c r="Q366" s="1"/>
      <c r="R366" s="1"/>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row>
    <row r="367" spans="1:64" x14ac:dyDescent="0.25">
      <c r="A367" s="1"/>
      <c r="B367" s="92"/>
      <c r="C367" s="92"/>
      <c r="D367" s="92"/>
      <c r="E367" s="92"/>
      <c r="F367" s="92"/>
      <c r="G367" s="92"/>
      <c r="H367" s="92"/>
      <c r="I367" s="92"/>
      <c r="J367" s="92"/>
      <c r="K367" s="92"/>
      <c r="L367" s="92"/>
      <c r="M367" s="92"/>
      <c r="N367" s="92"/>
      <c r="O367" s="1"/>
      <c r="P367" s="1"/>
      <c r="Q367" s="1"/>
      <c r="R367" s="1"/>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row>
    <row r="368" spans="1:64" x14ac:dyDescent="0.25">
      <c r="A368" s="1"/>
      <c r="B368" s="92"/>
      <c r="C368" s="92"/>
      <c r="D368" s="92"/>
      <c r="E368" s="92"/>
      <c r="F368" s="92"/>
      <c r="G368" s="92"/>
      <c r="H368" s="92"/>
      <c r="I368" s="92"/>
      <c r="J368" s="92"/>
      <c r="K368" s="92"/>
      <c r="L368" s="92"/>
      <c r="M368" s="92"/>
      <c r="N368" s="92"/>
      <c r="O368" s="1"/>
      <c r="P368" s="1"/>
      <c r="Q368" s="1"/>
      <c r="R368" s="1"/>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row>
    <row r="369" spans="1:64" x14ac:dyDescent="0.25">
      <c r="A369" s="1"/>
      <c r="B369" s="92"/>
      <c r="C369" s="92"/>
      <c r="D369" s="92"/>
      <c r="E369" s="92"/>
      <c r="F369" s="92"/>
      <c r="G369" s="92"/>
      <c r="H369" s="92"/>
      <c r="I369" s="92"/>
      <c r="J369" s="92"/>
      <c r="K369" s="92"/>
      <c r="L369" s="92"/>
      <c r="M369" s="92"/>
      <c r="N369" s="92"/>
      <c r="O369" s="1"/>
      <c r="P369" s="1"/>
      <c r="Q369" s="1"/>
      <c r="R369" s="1"/>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row>
    <row r="370" spans="1:64" x14ac:dyDescent="0.25">
      <c r="A370" s="1"/>
      <c r="B370" s="92"/>
      <c r="C370" s="92"/>
      <c r="D370" s="92"/>
      <c r="E370" s="92"/>
      <c r="F370" s="92"/>
      <c r="G370" s="92"/>
      <c r="H370" s="92"/>
      <c r="I370" s="92"/>
      <c r="J370" s="92"/>
      <c r="K370" s="92"/>
      <c r="L370" s="92"/>
      <c r="M370" s="92"/>
      <c r="N370" s="92"/>
      <c r="O370" s="1"/>
      <c r="P370" s="1"/>
      <c r="Q370" s="1"/>
      <c r="R370" s="1"/>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row>
    <row r="371" spans="1:64" x14ac:dyDescent="0.25">
      <c r="A371" s="1"/>
      <c r="B371" s="92"/>
      <c r="C371" s="92"/>
      <c r="D371" s="92"/>
      <c r="E371" s="92"/>
      <c r="F371" s="92"/>
      <c r="G371" s="92"/>
      <c r="H371" s="92"/>
      <c r="I371" s="92"/>
      <c r="J371" s="92"/>
      <c r="K371" s="92"/>
      <c r="L371" s="92"/>
      <c r="M371" s="92"/>
      <c r="N371" s="92"/>
      <c r="O371" s="1"/>
      <c r="P371" s="1"/>
      <c r="Q371" s="1"/>
      <c r="R371" s="1"/>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row>
    <row r="372" spans="1:64" x14ac:dyDescent="0.25">
      <c r="A372" s="1"/>
      <c r="B372" s="92"/>
      <c r="C372" s="92"/>
      <c r="D372" s="92"/>
      <c r="E372" s="92"/>
      <c r="F372" s="92"/>
      <c r="G372" s="92"/>
      <c r="H372" s="92"/>
      <c r="I372" s="92"/>
      <c r="J372" s="92"/>
      <c r="K372" s="92"/>
      <c r="L372" s="92"/>
      <c r="M372" s="92"/>
      <c r="N372" s="92"/>
      <c r="O372" s="1"/>
      <c r="P372" s="1"/>
      <c r="Q372" s="1"/>
      <c r="R372" s="1"/>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row>
    <row r="373" spans="1:64" x14ac:dyDescent="0.25">
      <c r="A373" s="1"/>
      <c r="B373" s="92"/>
      <c r="C373" s="92"/>
      <c r="D373" s="92"/>
      <c r="E373" s="92"/>
      <c r="F373" s="92"/>
      <c r="G373" s="92"/>
      <c r="H373" s="92"/>
      <c r="I373" s="92"/>
      <c r="J373" s="92"/>
      <c r="K373" s="92"/>
      <c r="L373" s="92"/>
      <c r="M373" s="92"/>
      <c r="N373" s="92"/>
      <c r="O373" s="1"/>
      <c r="P373" s="1"/>
      <c r="Q373" s="1"/>
      <c r="R373" s="1"/>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row>
    <row r="374" spans="1:64" x14ac:dyDescent="0.25">
      <c r="A374" s="1"/>
      <c r="B374" s="92"/>
      <c r="C374" s="92"/>
      <c r="D374" s="92"/>
      <c r="E374" s="92"/>
      <c r="F374" s="92"/>
      <c r="G374" s="92"/>
      <c r="H374" s="92"/>
      <c r="I374" s="92"/>
      <c r="J374" s="92"/>
      <c r="K374" s="92"/>
      <c r="L374" s="92"/>
      <c r="M374" s="92"/>
      <c r="N374" s="92"/>
      <c r="O374" s="1"/>
      <c r="P374" s="1"/>
      <c r="Q374" s="1"/>
      <c r="R374" s="1"/>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row>
    <row r="375" spans="1:64" x14ac:dyDescent="0.25">
      <c r="A375" s="1"/>
      <c r="B375" s="92"/>
      <c r="C375" s="92"/>
      <c r="D375" s="92"/>
      <c r="E375" s="92"/>
      <c r="F375" s="92"/>
      <c r="G375" s="92"/>
      <c r="H375" s="92"/>
      <c r="I375" s="92"/>
      <c r="J375" s="92"/>
      <c r="K375" s="92"/>
      <c r="L375" s="92"/>
      <c r="M375" s="92"/>
      <c r="N375" s="92"/>
      <c r="O375" s="1"/>
      <c r="P375" s="1"/>
      <c r="Q375" s="1"/>
      <c r="R375" s="1"/>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row>
    <row r="376" spans="1:64" x14ac:dyDescent="0.25">
      <c r="A376" s="1"/>
      <c r="B376" s="92"/>
      <c r="C376" s="92"/>
      <c r="D376" s="92"/>
      <c r="E376" s="92"/>
      <c r="F376" s="92"/>
      <c r="G376" s="92"/>
      <c r="H376" s="92"/>
      <c r="I376" s="92"/>
      <c r="J376" s="92"/>
      <c r="K376" s="92"/>
      <c r="L376" s="92"/>
      <c r="M376" s="92"/>
      <c r="N376" s="92"/>
      <c r="O376" s="1"/>
      <c r="P376" s="1"/>
      <c r="Q376" s="1"/>
      <c r="R376" s="1"/>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row>
    <row r="377" spans="1:64" x14ac:dyDescent="0.25">
      <c r="A377" s="1"/>
      <c r="B377" s="92"/>
      <c r="C377" s="92"/>
      <c r="D377" s="92"/>
      <c r="E377" s="92"/>
      <c r="F377" s="92"/>
      <c r="G377" s="92"/>
      <c r="H377" s="92"/>
      <c r="I377" s="92"/>
      <c r="J377" s="92"/>
      <c r="K377" s="92"/>
      <c r="L377" s="92"/>
      <c r="M377" s="92"/>
      <c r="N377" s="92"/>
      <c r="O377" s="1"/>
      <c r="P377" s="1"/>
      <c r="Q377" s="1"/>
      <c r="R377" s="1"/>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row>
    <row r="378" spans="1:64" x14ac:dyDescent="0.25">
      <c r="A378" s="1"/>
      <c r="B378" s="92"/>
      <c r="C378" s="92"/>
      <c r="D378" s="92"/>
      <c r="E378" s="92"/>
      <c r="F378" s="92"/>
      <c r="G378" s="92"/>
      <c r="H378" s="92"/>
      <c r="I378" s="92"/>
      <c r="J378" s="92"/>
      <c r="K378" s="92"/>
      <c r="L378" s="92"/>
      <c r="M378" s="92"/>
      <c r="N378" s="92"/>
      <c r="O378" s="1"/>
      <c r="P378" s="1"/>
      <c r="Q378" s="1"/>
      <c r="R378" s="1"/>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row>
    <row r="379" spans="1:64" x14ac:dyDescent="0.25">
      <c r="A379" s="1"/>
      <c r="B379" s="92"/>
      <c r="C379" s="92"/>
      <c r="D379" s="92"/>
      <c r="E379" s="92"/>
      <c r="F379" s="92"/>
      <c r="G379" s="92"/>
      <c r="H379" s="92"/>
      <c r="I379" s="92"/>
      <c r="J379" s="92"/>
      <c r="K379" s="92"/>
      <c r="L379" s="92"/>
      <c r="M379" s="92"/>
      <c r="N379" s="92"/>
      <c r="O379" s="1"/>
      <c r="P379" s="1"/>
      <c r="Q379" s="1"/>
      <c r="R379" s="1"/>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row>
    <row r="380" spans="1:64" x14ac:dyDescent="0.25">
      <c r="A380" s="1"/>
      <c r="B380" s="92"/>
      <c r="C380" s="92"/>
      <c r="D380" s="92"/>
      <c r="E380" s="92"/>
      <c r="F380" s="92"/>
      <c r="G380" s="92"/>
      <c r="H380" s="92"/>
      <c r="I380" s="92"/>
      <c r="J380" s="92"/>
      <c r="K380" s="92"/>
      <c r="L380" s="92"/>
      <c r="M380" s="92"/>
      <c r="N380" s="92"/>
      <c r="O380" s="1"/>
      <c r="P380" s="1"/>
      <c r="Q380" s="1"/>
      <c r="R380" s="1"/>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row>
    <row r="381" spans="1:64" x14ac:dyDescent="0.25">
      <c r="A381" s="1"/>
      <c r="B381" s="92"/>
      <c r="C381" s="92"/>
      <c r="D381" s="92"/>
      <c r="E381" s="92"/>
      <c r="F381" s="92"/>
      <c r="G381" s="92"/>
      <c r="H381" s="92"/>
      <c r="I381" s="92"/>
      <c r="J381" s="92"/>
      <c r="K381" s="92"/>
      <c r="L381" s="92"/>
      <c r="M381" s="92"/>
      <c r="N381" s="92"/>
      <c r="O381" s="1"/>
      <c r="P381" s="1"/>
      <c r="Q381" s="1"/>
      <c r="R381" s="1"/>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row>
    <row r="382" spans="1:64" x14ac:dyDescent="0.25">
      <c r="A382" s="1"/>
      <c r="B382" s="92"/>
      <c r="C382" s="92"/>
      <c r="D382" s="92"/>
      <c r="E382" s="92"/>
      <c r="F382" s="92"/>
      <c r="G382" s="92"/>
      <c r="H382" s="92"/>
      <c r="I382" s="92"/>
      <c r="J382" s="92"/>
      <c r="K382" s="92"/>
      <c r="L382" s="92"/>
      <c r="M382" s="92"/>
      <c r="N382" s="92"/>
      <c r="O382" s="1"/>
      <c r="P382" s="1"/>
      <c r="Q382" s="1"/>
      <c r="R382" s="1"/>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row>
    <row r="383" spans="1:64" x14ac:dyDescent="0.25">
      <c r="A383" s="1"/>
      <c r="B383" s="92"/>
      <c r="C383" s="92"/>
      <c r="D383" s="92"/>
      <c r="E383" s="92"/>
      <c r="F383" s="92"/>
      <c r="G383" s="92"/>
      <c r="H383" s="92"/>
      <c r="I383" s="92"/>
      <c r="J383" s="92"/>
      <c r="K383" s="92"/>
      <c r="L383" s="92"/>
      <c r="M383" s="92"/>
      <c r="N383" s="92"/>
      <c r="O383" s="1"/>
      <c r="P383" s="1"/>
      <c r="Q383" s="1"/>
      <c r="R383" s="1"/>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row>
    <row r="384" spans="1:64" x14ac:dyDescent="0.25">
      <c r="A384" s="1"/>
      <c r="B384" s="92"/>
      <c r="C384" s="92"/>
      <c r="D384" s="92"/>
      <c r="E384" s="92"/>
      <c r="F384" s="92"/>
      <c r="G384" s="92"/>
      <c r="H384" s="92"/>
      <c r="I384" s="92"/>
      <c r="J384" s="92"/>
      <c r="K384" s="92"/>
      <c r="L384" s="92"/>
      <c r="M384" s="92"/>
      <c r="N384" s="92"/>
      <c r="O384" s="1"/>
      <c r="P384" s="1"/>
      <c r="Q384" s="1"/>
      <c r="R384" s="1"/>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row>
    <row r="385" spans="1:64" x14ac:dyDescent="0.25">
      <c r="A385" s="1"/>
      <c r="B385" s="92"/>
      <c r="C385" s="92"/>
      <c r="D385" s="92"/>
      <c r="E385" s="92"/>
      <c r="F385" s="92"/>
      <c r="G385" s="92"/>
      <c r="H385" s="92"/>
      <c r="I385" s="92"/>
      <c r="J385" s="92"/>
      <c r="K385" s="92"/>
      <c r="L385" s="92"/>
      <c r="M385" s="92"/>
      <c r="N385" s="92"/>
      <c r="O385" s="1"/>
      <c r="P385" s="1"/>
      <c r="Q385" s="1"/>
      <c r="R385" s="1"/>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row>
    <row r="386" spans="1:64" x14ac:dyDescent="0.25">
      <c r="A386" s="1"/>
      <c r="B386" s="92"/>
      <c r="C386" s="92"/>
      <c r="D386" s="92"/>
      <c r="E386" s="92"/>
      <c r="F386" s="92"/>
      <c r="G386" s="92"/>
      <c r="H386" s="92"/>
      <c r="I386" s="92"/>
      <c r="J386" s="92"/>
      <c r="K386" s="92"/>
      <c r="L386" s="92"/>
      <c r="M386" s="92"/>
      <c r="N386" s="92"/>
      <c r="O386" s="1"/>
      <c r="P386" s="1"/>
      <c r="Q386" s="1"/>
      <c r="R386" s="1"/>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row>
    <row r="387" spans="1:64" x14ac:dyDescent="0.25">
      <c r="A387" s="1"/>
      <c r="B387" s="92"/>
      <c r="C387" s="92"/>
      <c r="D387" s="92"/>
      <c r="E387" s="92"/>
      <c r="F387" s="92"/>
      <c r="G387" s="92"/>
      <c r="H387" s="92"/>
      <c r="I387" s="92"/>
      <c r="J387" s="92"/>
      <c r="K387" s="92"/>
      <c r="L387" s="92"/>
      <c r="M387" s="92"/>
      <c r="N387" s="92"/>
      <c r="O387" s="1"/>
      <c r="P387" s="1"/>
      <c r="Q387" s="1"/>
      <c r="R387" s="1"/>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row>
    <row r="388" spans="1:64" x14ac:dyDescent="0.25">
      <c r="A388" s="1"/>
      <c r="B388" s="92"/>
      <c r="C388" s="92"/>
      <c r="D388" s="92"/>
      <c r="E388" s="92"/>
      <c r="F388" s="92"/>
      <c r="G388" s="92"/>
      <c r="H388" s="92"/>
      <c r="I388" s="92"/>
      <c r="J388" s="92"/>
      <c r="K388" s="92"/>
      <c r="L388" s="92"/>
      <c r="M388" s="92"/>
      <c r="N388" s="92"/>
      <c r="O388" s="1"/>
      <c r="P388" s="1"/>
      <c r="Q388" s="1"/>
      <c r="R388" s="1"/>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row>
    <row r="389" spans="1:64" x14ac:dyDescent="0.25">
      <c r="A389" s="1"/>
      <c r="B389" s="92"/>
      <c r="C389" s="92"/>
      <c r="D389" s="92"/>
      <c r="E389" s="92"/>
      <c r="F389" s="92"/>
      <c r="G389" s="92"/>
      <c r="H389" s="92"/>
      <c r="I389" s="92"/>
      <c r="J389" s="92"/>
      <c r="K389" s="92"/>
      <c r="L389" s="92"/>
      <c r="M389" s="92"/>
      <c r="N389" s="92"/>
      <c r="O389" s="1"/>
      <c r="P389" s="1"/>
      <c r="Q389" s="1"/>
      <c r="R389" s="1"/>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row>
    <row r="390" spans="1:64" x14ac:dyDescent="0.25">
      <c r="A390" s="1"/>
      <c r="B390" s="92"/>
      <c r="C390" s="92"/>
      <c r="D390" s="92"/>
      <c r="E390" s="92"/>
      <c r="F390" s="92"/>
      <c r="G390" s="92"/>
      <c r="H390" s="92"/>
      <c r="I390" s="92"/>
      <c r="J390" s="92"/>
      <c r="K390" s="92"/>
      <c r="L390" s="92"/>
      <c r="M390" s="92"/>
      <c r="N390" s="92"/>
      <c r="O390" s="1"/>
      <c r="P390" s="1"/>
      <c r="Q390" s="1"/>
      <c r="R390" s="1"/>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row>
    <row r="391" spans="1:64" x14ac:dyDescent="0.25">
      <c r="A391" s="1"/>
      <c r="B391" s="92"/>
      <c r="C391" s="92"/>
      <c r="D391" s="92"/>
      <c r="E391" s="92"/>
      <c r="F391" s="92"/>
      <c r="G391" s="92"/>
      <c r="H391" s="92"/>
      <c r="I391" s="92"/>
      <c r="J391" s="92"/>
      <c r="K391" s="92"/>
      <c r="L391" s="92"/>
      <c r="M391" s="92"/>
      <c r="N391" s="92"/>
      <c r="O391" s="1"/>
      <c r="P391" s="1"/>
      <c r="Q391" s="1"/>
      <c r="R391" s="1"/>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row>
    <row r="392" spans="1:64" x14ac:dyDescent="0.25">
      <c r="A392" s="1"/>
      <c r="B392" s="92"/>
      <c r="C392" s="92"/>
      <c r="D392" s="92"/>
      <c r="E392" s="92"/>
      <c r="F392" s="92"/>
      <c r="G392" s="92"/>
      <c r="H392" s="92"/>
      <c r="I392" s="92"/>
      <c r="J392" s="92"/>
      <c r="K392" s="92"/>
      <c r="L392" s="92"/>
      <c r="M392" s="92"/>
      <c r="N392" s="92"/>
      <c r="O392" s="1"/>
      <c r="P392" s="1"/>
      <c r="Q392" s="1"/>
      <c r="R392" s="1"/>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row>
    <row r="393" spans="1:64" x14ac:dyDescent="0.25">
      <c r="A393" s="1"/>
      <c r="B393" s="92"/>
      <c r="C393" s="92"/>
      <c r="D393" s="92"/>
      <c r="E393" s="92"/>
      <c r="F393" s="92"/>
      <c r="G393" s="92"/>
      <c r="H393" s="92"/>
      <c r="I393" s="92"/>
      <c r="J393" s="92"/>
      <c r="K393" s="92"/>
      <c r="L393" s="92"/>
      <c r="M393" s="92"/>
      <c r="N393" s="92"/>
      <c r="O393" s="1"/>
      <c r="P393" s="1"/>
      <c r="Q393" s="1"/>
      <c r="R393" s="1"/>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row>
    <row r="394" spans="1:64" x14ac:dyDescent="0.25">
      <c r="A394" s="1"/>
      <c r="B394" s="92"/>
      <c r="C394" s="92"/>
      <c r="D394" s="92"/>
      <c r="E394" s="92"/>
      <c r="F394" s="92"/>
      <c r="G394" s="92"/>
      <c r="H394" s="92"/>
      <c r="I394" s="92"/>
      <c r="J394" s="92"/>
      <c r="K394" s="92"/>
      <c r="L394" s="92"/>
      <c r="M394" s="92"/>
      <c r="N394" s="92"/>
      <c r="O394" s="1"/>
      <c r="P394" s="1"/>
      <c r="Q394" s="1"/>
      <c r="R394" s="1"/>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row>
    <row r="395" spans="1:64" x14ac:dyDescent="0.25">
      <c r="A395" s="1"/>
      <c r="B395" s="92"/>
      <c r="C395" s="92"/>
      <c r="D395" s="92"/>
      <c r="E395" s="92"/>
      <c r="F395" s="92"/>
      <c r="G395" s="92"/>
      <c r="H395" s="92"/>
      <c r="I395" s="92"/>
      <c r="J395" s="92"/>
      <c r="K395" s="92"/>
      <c r="L395" s="92"/>
      <c r="M395" s="92"/>
      <c r="N395" s="92"/>
      <c r="O395" s="1"/>
      <c r="P395" s="1"/>
      <c r="Q395" s="1"/>
      <c r="R395" s="1"/>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row>
    <row r="396" spans="1:64" x14ac:dyDescent="0.25">
      <c r="A396" s="1"/>
      <c r="B396" s="92"/>
      <c r="C396" s="92"/>
      <c r="D396" s="92"/>
      <c r="E396" s="92"/>
      <c r="F396" s="92"/>
      <c r="G396" s="92"/>
      <c r="H396" s="92"/>
      <c r="I396" s="92"/>
      <c r="J396" s="92"/>
      <c r="K396" s="92"/>
      <c r="L396" s="92"/>
      <c r="M396" s="92"/>
      <c r="N396" s="92"/>
      <c r="O396" s="1"/>
      <c r="P396" s="1"/>
      <c r="Q396" s="1"/>
      <c r="R396" s="1"/>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row>
    <row r="397" spans="1:64" x14ac:dyDescent="0.25">
      <c r="A397" s="1"/>
      <c r="B397" s="92"/>
      <c r="C397" s="92"/>
      <c r="D397" s="92"/>
      <c r="E397" s="92"/>
      <c r="F397" s="92"/>
      <c r="G397" s="92"/>
      <c r="H397" s="92"/>
      <c r="I397" s="92"/>
      <c r="J397" s="92"/>
      <c r="K397" s="92"/>
      <c r="L397" s="92"/>
      <c r="M397" s="92"/>
      <c r="N397" s="92"/>
      <c r="O397" s="1"/>
      <c r="P397" s="1"/>
      <c r="Q397" s="1"/>
      <c r="R397" s="1"/>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row>
    <row r="398" spans="1:64" x14ac:dyDescent="0.25">
      <c r="A398" s="1"/>
      <c r="B398" s="92"/>
      <c r="C398" s="92"/>
      <c r="D398" s="92"/>
      <c r="E398" s="92"/>
      <c r="F398" s="92"/>
      <c r="G398" s="92"/>
      <c r="H398" s="92"/>
      <c r="I398" s="92"/>
      <c r="J398" s="92"/>
      <c r="K398" s="92"/>
      <c r="L398" s="92"/>
      <c r="M398" s="92"/>
      <c r="N398" s="92"/>
      <c r="O398" s="1"/>
      <c r="P398" s="1"/>
      <c r="Q398" s="1"/>
      <c r="R398" s="1"/>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row>
    <row r="399" spans="1:64" x14ac:dyDescent="0.25">
      <c r="A399" s="1"/>
      <c r="B399" s="92"/>
      <c r="C399" s="92"/>
      <c r="D399" s="92"/>
      <c r="E399" s="92"/>
      <c r="F399" s="92"/>
      <c r="G399" s="92"/>
      <c r="H399" s="92"/>
      <c r="I399" s="92"/>
      <c r="J399" s="92"/>
      <c r="K399" s="92"/>
      <c r="L399" s="92"/>
      <c r="M399" s="92"/>
      <c r="N399" s="92"/>
      <c r="O399" s="1"/>
      <c r="P399" s="1"/>
      <c r="Q399" s="1"/>
      <c r="R399" s="1"/>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row>
    <row r="400" spans="1:64" x14ac:dyDescent="0.25">
      <c r="A400" s="1"/>
      <c r="B400" s="92"/>
      <c r="C400" s="92"/>
      <c r="D400" s="92"/>
      <c r="E400" s="92"/>
      <c r="F400" s="92"/>
      <c r="G400" s="92"/>
      <c r="H400" s="92"/>
      <c r="I400" s="92"/>
      <c r="J400" s="92"/>
      <c r="K400" s="92"/>
      <c r="L400" s="92"/>
      <c r="M400" s="92"/>
      <c r="N400" s="92"/>
      <c r="O400" s="1"/>
      <c r="P400" s="1"/>
      <c r="Q400" s="1"/>
      <c r="R400" s="1"/>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row>
    <row r="401" spans="1:64" x14ac:dyDescent="0.25">
      <c r="A401" s="1"/>
      <c r="B401" s="92"/>
      <c r="C401" s="92"/>
      <c r="D401" s="92"/>
      <c r="E401" s="92"/>
      <c r="F401" s="92"/>
      <c r="G401" s="92"/>
      <c r="H401" s="92"/>
      <c r="I401" s="92"/>
      <c r="J401" s="92"/>
      <c r="K401" s="92"/>
      <c r="L401" s="92"/>
      <c r="M401" s="92"/>
      <c r="N401" s="92"/>
      <c r="O401" s="1"/>
      <c r="P401" s="1"/>
      <c r="Q401" s="1"/>
      <c r="R401" s="1"/>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row>
    <row r="402" spans="1:64" x14ac:dyDescent="0.25">
      <c r="A402" s="1"/>
      <c r="B402" s="92"/>
      <c r="C402" s="92"/>
      <c r="D402" s="92"/>
      <c r="E402" s="92"/>
      <c r="F402" s="92"/>
      <c r="G402" s="92"/>
      <c r="H402" s="92"/>
      <c r="I402" s="92"/>
      <c r="J402" s="92"/>
      <c r="K402" s="92"/>
      <c r="L402" s="92"/>
      <c r="M402" s="92"/>
      <c r="N402" s="92"/>
      <c r="O402" s="1"/>
      <c r="P402" s="1"/>
      <c r="Q402" s="1"/>
      <c r="R402" s="1"/>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row>
    <row r="403" spans="1:64" x14ac:dyDescent="0.25">
      <c r="A403" s="1"/>
      <c r="B403" s="92"/>
      <c r="C403" s="92"/>
      <c r="D403" s="92"/>
      <c r="E403" s="92"/>
      <c r="F403" s="92"/>
      <c r="G403" s="92"/>
      <c r="H403" s="92"/>
      <c r="I403" s="92"/>
      <c r="J403" s="92"/>
      <c r="K403" s="92"/>
      <c r="L403" s="92"/>
      <c r="M403" s="92"/>
      <c r="N403" s="92"/>
      <c r="O403" s="1"/>
      <c r="P403" s="1"/>
      <c r="Q403" s="1"/>
      <c r="R403" s="1"/>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row>
    <row r="404" spans="1:64" x14ac:dyDescent="0.25">
      <c r="A404" s="1"/>
      <c r="B404" s="92"/>
      <c r="C404" s="92"/>
      <c r="D404" s="92"/>
      <c r="E404" s="92"/>
      <c r="F404" s="92"/>
      <c r="G404" s="92"/>
      <c r="H404" s="92"/>
      <c r="I404" s="92"/>
      <c r="J404" s="92"/>
      <c r="K404" s="92"/>
      <c r="L404" s="92"/>
      <c r="M404" s="92"/>
      <c r="N404" s="92"/>
      <c r="O404" s="1"/>
      <c r="P404" s="1"/>
      <c r="Q404" s="1"/>
      <c r="R404" s="1"/>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row>
    <row r="405" spans="1:64" x14ac:dyDescent="0.25">
      <c r="A405" s="1"/>
      <c r="B405" s="92"/>
      <c r="C405" s="92"/>
      <c r="D405" s="92"/>
      <c r="E405" s="92"/>
      <c r="F405" s="92"/>
      <c r="G405" s="92"/>
      <c r="H405" s="92"/>
      <c r="I405" s="92"/>
      <c r="J405" s="92"/>
      <c r="K405" s="92"/>
      <c r="L405" s="92"/>
      <c r="M405" s="92"/>
      <c r="N405" s="92"/>
      <c r="O405" s="1"/>
      <c r="P405" s="1"/>
      <c r="Q405" s="1"/>
      <c r="R405" s="1"/>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row>
    <row r="406" spans="1:64" x14ac:dyDescent="0.25">
      <c r="A406" s="1"/>
      <c r="B406" s="92"/>
      <c r="C406" s="92"/>
      <c r="D406" s="92"/>
      <c r="E406" s="92"/>
      <c r="F406" s="92"/>
      <c r="G406" s="92"/>
      <c r="H406" s="92"/>
      <c r="I406" s="92"/>
      <c r="J406" s="92"/>
      <c r="K406" s="92"/>
      <c r="L406" s="92"/>
      <c r="M406" s="92"/>
      <c r="N406" s="92"/>
      <c r="O406" s="1"/>
      <c r="P406" s="1"/>
      <c r="Q406" s="1"/>
      <c r="R406" s="1"/>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row>
    <row r="407" spans="1:64" x14ac:dyDescent="0.25">
      <c r="A407" s="1"/>
      <c r="B407" s="92"/>
      <c r="C407" s="92"/>
      <c r="D407" s="92"/>
      <c r="E407" s="92"/>
      <c r="F407" s="92"/>
      <c r="G407" s="92"/>
      <c r="H407" s="92"/>
      <c r="I407" s="92"/>
      <c r="J407" s="92"/>
      <c r="K407" s="92"/>
      <c r="L407" s="92"/>
      <c r="M407" s="92"/>
      <c r="N407" s="92"/>
      <c r="O407" s="1"/>
      <c r="P407" s="1"/>
      <c r="Q407" s="1"/>
      <c r="R407" s="1"/>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row>
    <row r="408" spans="1:64" x14ac:dyDescent="0.25">
      <c r="A408" s="1"/>
      <c r="B408" s="92"/>
      <c r="C408" s="92"/>
      <c r="D408" s="92"/>
      <c r="E408" s="92"/>
      <c r="F408" s="92"/>
      <c r="G408" s="92"/>
      <c r="H408" s="92"/>
      <c r="I408" s="92"/>
      <c r="J408" s="92"/>
      <c r="K408" s="92"/>
      <c r="L408" s="92"/>
      <c r="M408" s="92"/>
      <c r="N408" s="92"/>
      <c r="O408" s="1"/>
      <c r="P408" s="1"/>
      <c r="Q408" s="1"/>
      <c r="R408" s="1"/>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row>
    <row r="409" spans="1:64" x14ac:dyDescent="0.25">
      <c r="A409" s="1"/>
      <c r="B409" s="92"/>
      <c r="C409" s="92"/>
      <c r="D409" s="92"/>
      <c r="E409" s="92"/>
      <c r="F409" s="92"/>
      <c r="G409" s="92"/>
      <c r="H409" s="92"/>
      <c r="I409" s="92"/>
      <c r="J409" s="92"/>
      <c r="K409" s="92"/>
      <c r="L409" s="92"/>
      <c r="M409" s="92"/>
      <c r="N409" s="92"/>
      <c r="O409" s="1"/>
      <c r="P409" s="1"/>
      <c r="Q409" s="1"/>
      <c r="R409" s="1"/>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row>
    <row r="410" spans="1:64" x14ac:dyDescent="0.25">
      <c r="A410" s="1"/>
      <c r="B410" s="92"/>
      <c r="C410" s="92"/>
      <c r="D410" s="92"/>
      <c r="E410" s="92"/>
      <c r="F410" s="92"/>
      <c r="G410" s="92"/>
      <c r="H410" s="92"/>
      <c r="I410" s="92"/>
      <c r="J410" s="92"/>
      <c r="K410" s="92"/>
      <c r="L410" s="92"/>
      <c r="M410" s="92"/>
      <c r="N410" s="92"/>
      <c r="O410" s="1"/>
      <c r="P410" s="1"/>
      <c r="Q410" s="1"/>
      <c r="R410" s="1"/>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row>
    <row r="411" spans="1:64" x14ac:dyDescent="0.25">
      <c r="A411" s="1"/>
      <c r="B411" s="92"/>
      <c r="C411" s="92"/>
      <c r="D411" s="92"/>
      <c r="E411" s="92"/>
      <c r="F411" s="92"/>
      <c r="G411" s="92"/>
      <c r="H411" s="92"/>
      <c r="I411" s="92"/>
      <c r="J411" s="92"/>
      <c r="K411" s="92"/>
      <c r="L411" s="92"/>
      <c r="M411" s="92"/>
      <c r="N411" s="92"/>
      <c r="O411" s="1"/>
      <c r="P411" s="1"/>
      <c r="Q411" s="1"/>
      <c r="R411" s="1"/>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row>
    <row r="412" spans="1:64" x14ac:dyDescent="0.25">
      <c r="A412" s="1"/>
      <c r="B412" s="92"/>
      <c r="C412" s="92"/>
      <c r="D412" s="92"/>
      <c r="E412" s="92"/>
      <c r="F412" s="92"/>
      <c r="G412" s="92"/>
      <c r="H412" s="92"/>
      <c r="I412" s="92"/>
      <c r="J412" s="92"/>
      <c r="K412" s="92"/>
      <c r="L412" s="92"/>
      <c r="M412" s="92"/>
      <c r="N412" s="92"/>
      <c r="O412" s="1"/>
      <c r="P412" s="1"/>
      <c r="Q412" s="1"/>
      <c r="R412" s="1"/>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row>
    <row r="413" spans="1:64" x14ac:dyDescent="0.25">
      <c r="A413" s="1"/>
      <c r="B413" s="92"/>
      <c r="C413" s="92"/>
      <c r="D413" s="92"/>
      <c r="E413" s="92"/>
      <c r="F413" s="92"/>
      <c r="G413" s="92"/>
      <c r="H413" s="92"/>
      <c r="I413" s="92"/>
      <c r="J413" s="92"/>
      <c r="K413" s="92"/>
      <c r="L413" s="92"/>
      <c r="M413" s="92"/>
      <c r="N413" s="92"/>
      <c r="O413" s="1"/>
      <c r="P413" s="1"/>
      <c r="Q413" s="1"/>
      <c r="R413" s="1"/>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row>
    <row r="414" spans="1:64" x14ac:dyDescent="0.25">
      <c r="A414" s="1"/>
      <c r="B414" s="92"/>
      <c r="C414" s="92"/>
      <c r="D414" s="92"/>
      <c r="E414" s="92"/>
      <c r="F414" s="92"/>
      <c r="G414" s="92"/>
      <c r="H414" s="92"/>
      <c r="I414" s="92"/>
      <c r="J414" s="92"/>
      <c r="K414" s="92"/>
      <c r="L414" s="92"/>
      <c r="M414" s="92"/>
      <c r="N414" s="92"/>
      <c r="O414" s="1"/>
      <c r="P414" s="1"/>
      <c r="Q414" s="1"/>
      <c r="R414" s="1"/>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row>
    <row r="415" spans="1:64" x14ac:dyDescent="0.25">
      <c r="A415" s="1"/>
      <c r="B415" s="92"/>
      <c r="C415" s="92"/>
      <c r="D415" s="92"/>
      <c r="E415" s="92"/>
      <c r="F415" s="92"/>
      <c r="G415" s="92"/>
      <c r="H415" s="92"/>
      <c r="I415" s="92"/>
      <c r="J415" s="92"/>
      <c r="K415" s="92"/>
      <c r="L415" s="92"/>
      <c r="M415" s="92"/>
      <c r="N415" s="92"/>
      <c r="O415" s="1"/>
      <c r="P415" s="1"/>
      <c r="Q415" s="1"/>
      <c r="R415" s="1"/>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row>
    <row r="416" spans="1:64" x14ac:dyDescent="0.25">
      <c r="A416" s="1"/>
      <c r="B416" s="92"/>
      <c r="C416" s="92"/>
      <c r="D416" s="92"/>
      <c r="E416" s="92"/>
      <c r="F416" s="92"/>
      <c r="G416" s="92"/>
      <c r="H416" s="92"/>
      <c r="I416" s="92"/>
      <c r="J416" s="92"/>
      <c r="K416" s="92"/>
      <c r="L416" s="92"/>
      <c r="M416" s="92"/>
      <c r="N416" s="92"/>
      <c r="O416" s="1"/>
      <c r="P416" s="1"/>
      <c r="Q416" s="1"/>
      <c r="R416" s="1"/>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row>
    <row r="417" spans="1:64" x14ac:dyDescent="0.25">
      <c r="A417" s="1"/>
      <c r="B417" s="92"/>
      <c r="C417" s="92"/>
      <c r="D417" s="92"/>
      <c r="E417" s="92"/>
      <c r="F417" s="92"/>
      <c r="G417" s="92"/>
      <c r="H417" s="92"/>
      <c r="I417" s="92"/>
      <c r="J417" s="92"/>
      <c r="K417" s="92"/>
      <c r="L417" s="92"/>
      <c r="M417" s="92"/>
      <c r="N417" s="92"/>
      <c r="O417" s="1"/>
      <c r="P417" s="1"/>
      <c r="Q417" s="1"/>
      <c r="R417" s="1"/>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row>
    <row r="418" spans="1:64" x14ac:dyDescent="0.25">
      <c r="A418" s="1"/>
      <c r="B418" s="92"/>
      <c r="C418" s="92"/>
      <c r="D418" s="92"/>
      <c r="E418" s="92"/>
      <c r="F418" s="92"/>
      <c r="G418" s="92"/>
      <c r="H418" s="92"/>
      <c r="I418" s="92"/>
      <c r="J418" s="92"/>
      <c r="K418" s="92"/>
      <c r="L418" s="92"/>
      <c r="M418" s="92"/>
      <c r="N418" s="92"/>
      <c r="O418" s="1"/>
      <c r="P418" s="1"/>
      <c r="Q418" s="1"/>
      <c r="R418" s="1"/>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row>
    <row r="419" spans="1:64" x14ac:dyDescent="0.25">
      <c r="A419" s="1"/>
      <c r="B419" s="92"/>
      <c r="C419" s="92"/>
      <c r="D419" s="92"/>
      <c r="E419" s="92"/>
      <c r="F419" s="92"/>
      <c r="G419" s="92"/>
      <c r="H419" s="92"/>
      <c r="I419" s="92"/>
      <c r="J419" s="92"/>
      <c r="K419" s="92"/>
      <c r="L419" s="92"/>
      <c r="M419" s="92"/>
      <c r="N419" s="92"/>
      <c r="O419" s="1"/>
      <c r="P419" s="1"/>
      <c r="Q419" s="1"/>
      <c r="R419" s="1"/>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row>
    <row r="420" spans="1:64" x14ac:dyDescent="0.25">
      <c r="A420" s="1"/>
      <c r="B420" s="92"/>
      <c r="C420" s="92"/>
      <c r="D420" s="92"/>
      <c r="E420" s="92"/>
      <c r="F420" s="92"/>
      <c r="G420" s="92"/>
      <c r="H420" s="92"/>
      <c r="I420" s="92"/>
      <c r="J420" s="92"/>
      <c r="K420" s="92"/>
      <c r="L420" s="92"/>
      <c r="M420" s="92"/>
      <c r="N420" s="92"/>
      <c r="O420" s="1"/>
      <c r="P420" s="1"/>
      <c r="Q420" s="1"/>
      <c r="R420" s="1"/>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row>
    <row r="421" spans="1:64" x14ac:dyDescent="0.25">
      <c r="A421" s="1"/>
      <c r="B421" s="92"/>
      <c r="C421" s="92"/>
      <c r="D421" s="92"/>
      <c r="E421" s="92"/>
      <c r="F421" s="92"/>
      <c r="G421" s="92"/>
      <c r="H421" s="92"/>
      <c r="I421" s="92"/>
      <c r="J421" s="92"/>
      <c r="K421" s="92"/>
      <c r="L421" s="92"/>
      <c r="M421" s="92"/>
      <c r="N421" s="92"/>
      <c r="O421" s="1"/>
      <c r="P421" s="1"/>
      <c r="Q421" s="1"/>
      <c r="R421" s="1"/>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row>
    <row r="422" spans="1:64" x14ac:dyDescent="0.25">
      <c r="A422" s="1"/>
      <c r="B422" s="92"/>
      <c r="C422" s="92"/>
      <c r="D422" s="92"/>
      <c r="E422" s="92"/>
      <c r="F422" s="92"/>
      <c r="G422" s="92"/>
      <c r="H422" s="92"/>
      <c r="I422" s="92"/>
      <c r="J422" s="92"/>
      <c r="K422" s="92"/>
      <c r="L422" s="92"/>
      <c r="M422" s="92"/>
      <c r="N422" s="92"/>
      <c r="O422" s="1"/>
      <c r="P422" s="1"/>
      <c r="Q422" s="1"/>
      <c r="R422" s="1"/>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row>
    <row r="423" spans="1:64" x14ac:dyDescent="0.25">
      <c r="A423" s="1"/>
      <c r="B423" s="92"/>
      <c r="C423" s="92"/>
      <c r="D423" s="92"/>
      <c r="E423" s="92"/>
      <c r="F423" s="92"/>
      <c r="G423" s="92"/>
      <c r="H423" s="92"/>
      <c r="I423" s="92"/>
      <c r="J423" s="92"/>
      <c r="K423" s="92"/>
      <c r="L423" s="92"/>
      <c r="M423" s="92"/>
      <c r="N423" s="92"/>
      <c r="O423" s="1"/>
      <c r="P423" s="1"/>
      <c r="Q423" s="1"/>
      <c r="R423" s="1"/>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row>
    <row r="424" spans="1:64" x14ac:dyDescent="0.25">
      <c r="A424" s="1"/>
      <c r="B424" s="92"/>
      <c r="C424" s="92"/>
      <c r="D424" s="92"/>
      <c r="E424" s="92"/>
      <c r="F424" s="92"/>
      <c r="G424" s="92"/>
      <c r="H424" s="92"/>
      <c r="I424" s="92"/>
      <c r="J424" s="92"/>
      <c r="K424" s="92"/>
      <c r="L424" s="92"/>
      <c r="M424" s="92"/>
      <c r="N424" s="92"/>
      <c r="O424" s="1"/>
      <c r="P424" s="1"/>
      <c r="Q424" s="1"/>
      <c r="R424" s="1"/>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row>
    <row r="425" spans="1:64" x14ac:dyDescent="0.25">
      <c r="A425" s="1"/>
      <c r="B425" s="92"/>
      <c r="C425" s="92"/>
      <c r="D425" s="92"/>
      <c r="E425" s="92"/>
      <c r="F425" s="92"/>
      <c r="G425" s="92"/>
      <c r="H425" s="92"/>
      <c r="I425" s="92"/>
      <c r="J425" s="92"/>
      <c r="K425" s="92"/>
      <c r="L425" s="92"/>
      <c r="M425" s="92"/>
      <c r="N425" s="92"/>
      <c r="O425" s="1"/>
      <c r="P425" s="1"/>
      <c r="Q425" s="1"/>
      <c r="R425" s="1"/>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row>
    <row r="426" spans="1:64" x14ac:dyDescent="0.25">
      <c r="A426" s="1"/>
      <c r="B426" s="92"/>
      <c r="C426" s="92"/>
      <c r="D426" s="92"/>
      <c r="E426" s="92"/>
      <c r="F426" s="92"/>
      <c r="G426" s="92"/>
      <c r="H426" s="92"/>
      <c r="I426" s="92"/>
      <c r="J426" s="92"/>
      <c r="K426" s="92"/>
      <c r="L426" s="92"/>
      <c r="M426" s="92"/>
      <c r="N426" s="92"/>
      <c r="O426" s="1"/>
      <c r="P426" s="1"/>
      <c r="Q426" s="1"/>
      <c r="R426" s="1"/>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row>
    <row r="427" spans="1:64" x14ac:dyDescent="0.25">
      <c r="A427" s="1"/>
      <c r="B427" s="92"/>
      <c r="C427" s="92"/>
      <c r="D427" s="92"/>
      <c r="E427" s="92"/>
      <c r="F427" s="92"/>
      <c r="G427" s="92"/>
      <c r="H427" s="92"/>
      <c r="I427" s="92"/>
      <c r="J427" s="92"/>
      <c r="K427" s="92"/>
      <c r="L427" s="92"/>
      <c r="M427" s="92"/>
      <c r="N427" s="92"/>
      <c r="O427" s="1"/>
      <c r="P427" s="1"/>
      <c r="Q427" s="1"/>
      <c r="R427" s="1"/>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row>
    <row r="428" spans="1:64" x14ac:dyDescent="0.25">
      <c r="A428" s="1"/>
      <c r="B428" s="92"/>
      <c r="C428" s="92"/>
      <c r="D428" s="92"/>
      <c r="E428" s="92"/>
      <c r="F428" s="92"/>
      <c r="G428" s="92"/>
      <c r="H428" s="92"/>
      <c r="I428" s="92"/>
      <c r="J428" s="92"/>
      <c r="K428" s="92"/>
      <c r="L428" s="92"/>
      <c r="M428" s="92"/>
      <c r="N428" s="92"/>
      <c r="O428" s="1"/>
      <c r="P428" s="1"/>
      <c r="Q428" s="1"/>
      <c r="R428" s="1"/>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row>
    <row r="429" spans="1:64" x14ac:dyDescent="0.25">
      <c r="A429" s="1"/>
      <c r="B429" s="92"/>
      <c r="C429" s="92"/>
      <c r="D429" s="92"/>
      <c r="E429" s="92"/>
      <c r="F429" s="92"/>
      <c r="G429" s="92"/>
      <c r="H429" s="92"/>
      <c r="I429" s="92"/>
      <c r="J429" s="92"/>
      <c r="K429" s="92"/>
      <c r="L429" s="92"/>
      <c r="M429" s="92"/>
      <c r="N429" s="92"/>
      <c r="O429" s="1"/>
      <c r="P429" s="1"/>
      <c r="Q429" s="1"/>
      <c r="R429" s="1"/>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row>
    <row r="430" spans="1:64" x14ac:dyDescent="0.25">
      <c r="A430" s="1"/>
      <c r="B430" s="92"/>
      <c r="C430" s="92"/>
      <c r="D430" s="92"/>
      <c r="E430" s="92"/>
      <c r="F430" s="92"/>
      <c r="G430" s="92"/>
      <c r="H430" s="92"/>
      <c r="I430" s="92"/>
      <c r="J430" s="92"/>
      <c r="K430" s="92"/>
      <c r="L430" s="92"/>
      <c r="M430" s="92"/>
      <c r="N430" s="92"/>
      <c r="O430" s="1"/>
      <c r="P430" s="1"/>
      <c r="Q430" s="1"/>
      <c r="R430" s="1"/>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row>
    <row r="431" spans="1:64" x14ac:dyDescent="0.25">
      <c r="A431" s="1"/>
      <c r="B431" s="92"/>
      <c r="C431" s="92"/>
      <c r="D431" s="92"/>
      <c r="E431" s="92"/>
      <c r="F431" s="92"/>
      <c r="G431" s="92"/>
      <c r="H431" s="92"/>
      <c r="I431" s="92"/>
      <c r="J431" s="92"/>
      <c r="K431" s="92"/>
      <c r="L431" s="92"/>
      <c r="M431" s="92"/>
      <c r="N431" s="92"/>
      <c r="O431" s="1"/>
      <c r="P431" s="1"/>
      <c r="Q431" s="1"/>
      <c r="R431" s="1"/>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row>
    <row r="432" spans="1:64" x14ac:dyDescent="0.25">
      <c r="A432" s="1"/>
      <c r="B432" s="92"/>
      <c r="C432" s="92"/>
      <c r="D432" s="92"/>
      <c r="E432" s="92"/>
      <c r="F432" s="92"/>
      <c r="G432" s="92"/>
      <c r="H432" s="92"/>
      <c r="I432" s="92"/>
      <c r="J432" s="92"/>
      <c r="K432" s="92"/>
      <c r="L432" s="92"/>
      <c r="M432" s="92"/>
      <c r="N432" s="92"/>
      <c r="O432" s="1"/>
      <c r="P432" s="1"/>
      <c r="Q432" s="1"/>
      <c r="R432" s="1"/>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row>
    <row r="433" spans="1:64" x14ac:dyDescent="0.25">
      <c r="A433" s="1"/>
      <c r="B433" s="92"/>
      <c r="C433" s="92"/>
      <c r="D433" s="92"/>
      <c r="E433" s="92"/>
      <c r="F433" s="92"/>
      <c r="G433" s="92"/>
      <c r="H433" s="92"/>
      <c r="I433" s="92"/>
      <c r="J433" s="92"/>
      <c r="K433" s="92"/>
      <c r="L433" s="92"/>
      <c r="M433" s="92"/>
      <c r="N433" s="92"/>
      <c r="O433" s="1"/>
      <c r="P433" s="1"/>
      <c r="Q433" s="1"/>
      <c r="R433" s="1"/>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row>
    <row r="434" spans="1:64" x14ac:dyDescent="0.25">
      <c r="A434" s="1"/>
      <c r="B434" s="92"/>
      <c r="C434" s="92"/>
      <c r="D434" s="92"/>
      <c r="E434" s="92"/>
      <c r="F434" s="92"/>
      <c r="G434" s="92"/>
      <c r="H434" s="92"/>
      <c r="I434" s="92"/>
      <c r="J434" s="92"/>
      <c r="K434" s="92"/>
      <c r="L434" s="92"/>
      <c r="M434" s="92"/>
      <c r="N434" s="92"/>
      <c r="O434" s="1"/>
      <c r="P434" s="1"/>
      <c r="Q434" s="1"/>
      <c r="R434" s="1"/>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row>
    <row r="435" spans="1:64" x14ac:dyDescent="0.25">
      <c r="A435" s="1"/>
      <c r="B435" s="92"/>
      <c r="C435" s="92"/>
      <c r="D435" s="92"/>
      <c r="E435" s="92"/>
      <c r="F435" s="92"/>
      <c r="G435" s="92"/>
      <c r="H435" s="92"/>
      <c r="I435" s="92"/>
      <c r="J435" s="92"/>
      <c r="K435" s="92"/>
      <c r="L435" s="92"/>
      <c r="M435" s="92"/>
      <c r="N435" s="92"/>
      <c r="O435" s="1"/>
      <c r="P435" s="1"/>
      <c r="Q435" s="1"/>
      <c r="R435" s="1"/>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row>
    <row r="436" spans="1:64" x14ac:dyDescent="0.25">
      <c r="A436" s="1"/>
      <c r="B436" s="92"/>
      <c r="C436" s="92"/>
      <c r="D436" s="92"/>
      <c r="E436" s="92"/>
      <c r="F436" s="92"/>
      <c r="G436" s="92"/>
      <c r="H436" s="92"/>
      <c r="I436" s="92"/>
      <c r="J436" s="92"/>
      <c r="K436" s="92"/>
      <c r="L436" s="92"/>
      <c r="M436" s="92"/>
      <c r="N436" s="92"/>
      <c r="O436" s="1"/>
      <c r="P436" s="1"/>
      <c r="Q436" s="1"/>
      <c r="R436" s="1"/>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row>
    <row r="437" spans="1:64" x14ac:dyDescent="0.25">
      <c r="A437" s="1"/>
      <c r="B437" s="92"/>
      <c r="C437" s="92"/>
      <c r="D437" s="92"/>
      <c r="E437" s="92"/>
      <c r="F437" s="92"/>
      <c r="G437" s="92"/>
      <c r="H437" s="92"/>
      <c r="I437" s="92"/>
      <c r="J437" s="92"/>
      <c r="K437" s="92"/>
      <c r="L437" s="92"/>
      <c r="M437" s="92"/>
      <c r="N437" s="92"/>
      <c r="O437" s="1"/>
      <c r="P437" s="1"/>
      <c r="Q437" s="1"/>
      <c r="R437" s="1"/>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row>
    <row r="438" spans="1:64" x14ac:dyDescent="0.25">
      <c r="A438" s="1"/>
      <c r="B438" s="92"/>
      <c r="C438" s="92"/>
      <c r="D438" s="92"/>
      <c r="E438" s="92"/>
      <c r="F438" s="92"/>
      <c r="G438" s="92"/>
      <c r="H438" s="92"/>
      <c r="I438" s="92"/>
      <c r="J438" s="92"/>
      <c r="K438" s="92"/>
      <c r="L438" s="92"/>
      <c r="M438" s="92"/>
      <c r="N438" s="92"/>
      <c r="O438" s="1"/>
      <c r="P438" s="1"/>
      <c r="Q438" s="1"/>
      <c r="R438" s="1"/>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row>
    <row r="439" spans="1:64" x14ac:dyDescent="0.25">
      <c r="A439" s="1"/>
      <c r="B439" s="92"/>
      <c r="C439" s="92"/>
      <c r="D439" s="92"/>
      <c r="E439" s="92"/>
      <c r="F439" s="92"/>
      <c r="G439" s="92"/>
      <c r="H439" s="92"/>
      <c r="I439" s="92"/>
      <c r="J439" s="92"/>
      <c r="K439" s="92"/>
      <c r="L439" s="92"/>
      <c r="M439" s="92"/>
      <c r="N439" s="92"/>
      <c r="O439" s="1"/>
      <c r="P439" s="1"/>
      <c r="Q439" s="1"/>
      <c r="R439" s="1"/>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row>
    <row r="440" spans="1:64" x14ac:dyDescent="0.25">
      <c r="A440" s="1"/>
      <c r="B440" s="92"/>
      <c r="C440" s="92"/>
      <c r="D440" s="92"/>
      <c r="E440" s="92"/>
      <c r="F440" s="92"/>
      <c r="G440" s="92"/>
      <c r="H440" s="92"/>
      <c r="I440" s="92"/>
      <c r="J440" s="92"/>
      <c r="K440" s="92"/>
      <c r="L440" s="92"/>
      <c r="M440" s="92"/>
      <c r="N440" s="92"/>
      <c r="O440" s="1"/>
      <c r="P440" s="1"/>
      <c r="Q440" s="1"/>
      <c r="R440" s="1"/>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row>
    <row r="441" spans="1:64" x14ac:dyDescent="0.25">
      <c r="A441" s="1"/>
      <c r="B441" s="92"/>
      <c r="C441" s="92"/>
      <c r="D441" s="92"/>
      <c r="E441" s="92"/>
      <c r="F441" s="92"/>
      <c r="G441" s="92"/>
      <c r="H441" s="92"/>
      <c r="I441" s="92"/>
      <c r="J441" s="92"/>
      <c r="K441" s="92"/>
      <c r="L441" s="92"/>
      <c r="M441" s="92"/>
      <c r="N441" s="92"/>
      <c r="O441" s="1"/>
      <c r="P441" s="1"/>
      <c r="Q441" s="1"/>
      <c r="R441" s="1"/>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row>
    <row r="442" spans="1:64" x14ac:dyDescent="0.25">
      <c r="A442" s="1"/>
      <c r="B442" s="92"/>
      <c r="C442" s="92"/>
      <c r="D442" s="92"/>
      <c r="E442" s="92"/>
      <c r="F442" s="92"/>
      <c r="G442" s="92"/>
      <c r="H442" s="92"/>
      <c r="I442" s="92"/>
      <c r="J442" s="92"/>
      <c r="K442" s="92"/>
      <c r="L442" s="92"/>
      <c r="M442" s="92"/>
      <c r="N442" s="92"/>
      <c r="O442" s="1"/>
      <c r="P442" s="1"/>
      <c r="Q442" s="1"/>
      <c r="R442" s="1"/>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row>
    <row r="443" spans="1:64" x14ac:dyDescent="0.25">
      <c r="A443" s="1"/>
      <c r="B443" s="92"/>
      <c r="C443" s="92"/>
      <c r="D443" s="92"/>
      <c r="E443" s="92"/>
      <c r="F443" s="92"/>
      <c r="G443" s="92"/>
      <c r="H443" s="92"/>
      <c r="I443" s="92"/>
      <c r="J443" s="92"/>
      <c r="K443" s="92"/>
      <c r="L443" s="92"/>
      <c r="M443" s="92"/>
      <c r="N443" s="92"/>
      <c r="O443" s="1"/>
      <c r="P443" s="1"/>
      <c r="Q443" s="1"/>
      <c r="R443" s="1"/>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row>
    <row r="444" spans="1:64" x14ac:dyDescent="0.25">
      <c r="A444" s="1"/>
      <c r="B444" s="92"/>
      <c r="C444" s="92"/>
      <c r="D444" s="92"/>
      <c r="E444" s="92"/>
      <c r="F444" s="92"/>
      <c r="G444" s="92"/>
      <c r="H444" s="92"/>
      <c r="I444" s="92"/>
      <c r="J444" s="92"/>
      <c r="K444" s="92"/>
      <c r="L444" s="92"/>
      <c r="M444" s="92"/>
      <c r="N444" s="92"/>
      <c r="O444" s="1"/>
      <c r="P444" s="1"/>
      <c r="Q444" s="1"/>
      <c r="R444" s="1"/>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row>
    <row r="445" spans="1:64" x14ac:dyDescent="0.25">
      <c r="A445" s="1"/>
      <c r="B445" s="92"/>
      <c r="C445" s="92"/>
      <c r="D445" s="92"/>
      <c r="E445" s="92"/>
      <c r="F445" s="92"/>
      <c r="G445" s="92"/>
      <c r="H445" s="92"/>
      <c r="I445" s="92"/>
      <c r="J445" s="92"/>
      <c r="K445" s="92"/>
      <c r="L445" s="92"/>
      <c r="M445" s="92"/>
      <c r="N445" s="92"/>
      <c r="O445" s="1"/>
      <c r="P445" s="1"/>
      <c r="Q445" s="1"/>
      <c r="R445" s="1"/>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row>
    <row r="446" spans="1:64" x14ac:dyDescent="0.25">
      <c r="A446" s="1"/>
      <c r="B446" s="92"/>
      <c r="C446" s="92"/>
      <c r="D446" s="92"/>
      <c r="E446" s="92"/>
      <c r="F446" s="92"/>
      <c r="G446" s="92"/>
      <c r="H446" s="92"/>
      <c r="I446" s="92"/>
      <c r="J446" s="92"/>
      <c r="K446" s="92"/>
      <c r="L446" s="92"/>
      <c r="M446" s="92"/>
      <c r="N446" s="92"/>
      <c r="O446" s="1"/>
      <c r="P446" s="1"/>
      <c r="Q446" s="1"/>
      <c r="R446" s="1"/>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row>
    <row r="447" spans="1:64" x14ac:dyDescent="0.25">
      <c r="A447" s="1"/>
      <c r="B447" s="92"/>
      <c r="C447" s="92"/>
      <c r="D447" s="92"/>
      <c r="E447" s="92"/>
      <c r="F447" s="92"/>
      <c r="G447" s="92"/>
      <c r="H447" s="92"/>
      <c r="I447" s="92"/>
      <c r="J447" s="92"/>
      <c r="K447" s="92"/>
      <c r="L447" s="92"/>
      <c r="M447" s="92"/>
      <c r="N447" s="92"/>
      <c r="O447" s="1"/>
      <c r="P447" s="1"/>
      <c r="Q447" s="1"/>
      <c r="R447" s="1"/>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row>
    <row r="448" spans="1:64" x14ac:dyDescent="0.25">
      <c r="A448" s="1"/>
      <c r="B448" s="92"/>
      <c r="C448" s="92"/>
      <c r="D448" s="92"/>
      <c r="E448" s="92"/>
      <c r="F448" s="92"/>
      <c r="G448" s="92"/>
      <c r="H448" s="92"/>
      <c r="I448" s="92"/>
      <c r="J448" s="92"/>
      <c r="K448" s="92"/>
      <c r="L448" s="92"/>
      <c r="M448" s="92"/>
      <c r="N448" s="92"/>
      <c r="O448" s="1"/>
      <c r="P448" s="1"/>
      <c r="Q448" s="1"/>
      <c r="R448" s="1"/>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row>
    <row r="449" spans="1:64" x14ac:dyDescent="0.25">
      <c r="A449" s="1"/>
      <c r="B449" s="92"/>
      <c r="C449" s="92"/>
      <c r="D449" s="92"/>
      <c r="E449" s="92"/>
      <c r="F449" s="92"/>
      <c r="G449" s="92"/>
      <c r="H449" s="92"/>
      <c r="I449" s="92"/>
      <c r="J449" s="92"/>
      <c r="K449" s="92"/>
      <c r="L449" s="92"/>
      <c r="M449" s="92"/>
      <c r="N449" s="92"/>
      <c r="O449" s="1"/>
      <c r="P449" s="1"/>
      <c r="Q449" s="1"/>
      <c r="R449" s="1"/>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row>
    <row r="450" spans="1:64" x14ac:dyDescent="0.25">
      <c r="A450" s="1"/>
      <c r="B450" s="92"/>
      <c r="C450" s="92"/>
      <c r="D450" s="92"/>
      <c r="E450" s="92"/>
      <c r="F450" s="92"/>
      <c r="G450" s="92"/>
      <c r="H450" s="92"/>
      <c r="I450" s="92"/>
      <c r="J450" s="92"/>
      <c r="K450" s="92"/>
      <c r="L450" s="92"/>
      <c r="M450" s="92"/>
      <c r="N450" s="92"/>
      <c r="O450" s="1"/>
      <c r="P450" s="1"/>
      <c r="Q450" s="1"/>
      <c r="R450" s="1"/>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row>
    <row r="451" spans="1:64" x14ac:dyDescent="0.25">
      <c r="A451" s="1"/>
      <c r="B451" s="92"/>
      <c r="C451" s="92"/>
      <c r="D451" s="92"/>
      <c r="E451" s="92"/>
      <c r="F451" s="92"/>
      <c r="G451" s="92"/>
      <c r="H451" s="92"/>
      <c r="I451" s="92"/>
      <c r="J451" s="92"/>
      <c r="K451" s="92"/>
      <c r="L451" s="92"/>
      <c r="M451" s="92"/>
      <c r="N451" s="92"/>
      <c r="O451" s="1"/>
      <c r="P451" s="1"/>
      <c r="Q451" s="1"/>
      <c r="R451" s="1"/>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row>
    <row r="452" spans="1:64" x14ac:dyDescent="0.25">
      <c r="A452" s="1"/>
      <c r="B452" s="92"/>
      <c r="C452" s="92"/>
      <c r="D452" s="92"/>
      <c r="E452" s="92"/>
      <c r="F452" s="92"/>
      <c r="G452" s="92"/>
      <c r="H452" s="92"/>
      <c r="I452" s="92"/>
      <c r="J452" s="92"/>
      <c r="K452" s="92"/>
      <c r="L452" s="92"/>
      <c r="M452" s="92"/>
      <c r="N452" s="92"/>
      <c r="O452" s="1"/>
      <c r="P452" s="1"/>
      <c r="Q452" s="1"/>
      <c r="R452" s="1"/>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row>
    <row r="453" spans="1:64" x14ac:dyDescent="0.25">
      <c r="A453" s="1"/>
      <c r="B453" s="92"/>
      <c r="C453" s="92"/>
      <c r="D453" s="92"/>
      <c r="E453" s="92"/>
      <c r="F453" s="92"/>
      <c r="G453" s="92"/>
      <c r="H453" s="92"/>
      <c r="I453" s="92"/>
      <c r="J453" s="92"/>
      <c r="K453" s="92"/>
      <c r="L453" s="92"/>
      <c r="M453" s="92"/>
      <c r="N453" s="92"/>
      <c r="O453" s="1"/>
      <c r="P453" s="1"/>
      <c r="Q453" s="1"/>
      <c r="R453" s="1"/>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row>
    <row r="454" spans="1:64" x14ac:dyDescent="0.25">
      <c r="A454" s="1"/>
      <c r="B454" s="92"/>
      <c r="C454" s="92"/>
      <c r="D454" s="92"/>
      <c r="E454" s="92"/>
      <c r="F454" s="92"/>
      <c r="G454" s="92"/>
      <c r="H454" s="92"/>
      <c r="I454" s="92"/>
      <c r="J454" s="92"/>
      <c r="K454" s="92"/>
      <c r="L454" s="92"/>
      <c r="M454" s="92"/>
      <c r="N454" s="92"/>
      <c r="O454" s="1"/>
      <c r="P454" s="1"/>
      <c r="Q454" s="1"/>
      <c r="R454" s="1"/>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row>
    <row r="455" spans="1:64" x14ac:dyDescent="0.25">
      <c r="A455" s="1"/>
      <c r="B455" s="92"/>
      <c r="C455" s="92"/>
      <c r="D455" s="92"/>
      <c r="E455" s="92"/>
      <c r="F455" s="92"/>
      <c r="G455" s="92"/>
      <c r="H455" s="92"/>
      <c r="I455" s="92"/>
      <c r="J455" s="92"/>
      <c r="K455" s="92"/>
      <c r="L455" s="92"/>
      <c r="M455" s="92"/>
      <c r="N455" s="92"/>
      <c r="O455" s="1"/>
      <c r="P455" s="1"/>
      <c r="Q455" s="1"/>
      <c r="R455" s="1"/>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row>
    <row r="456" spans="1:64" x14ac:dyDescent="0.25">
      <c r="A456" s="1"/>
      <c r="B456" s="92"/>
      <c r="C456" s="92"/>
      <c r="D456" s="92"/>
      <c r="E456" s="92"/>
      <c r="F456" s="92"/>
      <c r="G456" s="92"/>
      <c r="H456" s="92"/>
      <c r="I456" s="92"/>
      <c r="J456" s="92"/>
      <c r="K456" s="92"/>
      <c r="L456" s="92"/>
      <c r="M456" s="92"/>
      <c r="N456" s="92"/>
      <c r="O456" s="1"/>
      <c r="P456" s="1"/>
      <c r="Q456" s="1"/>
      <c r="R456" s="1"/>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row>
    <row r="457" spans="1:64" x14ac:dyDescent="0.25">
      <c r="A457" s="1"/>
      <c r="B457" s="92"/>
      <c r="C457" s="92"/>
      <c r="D457" s="92"/>
      <c r="E457" s="92"/>
      <c r="F457" s="92"/>
      <c r="G457" s="92"/>
      <c r="H457" s="92"/>
      <c r="I457" s="92"/>
      <c r="J457" s="92"/>
      <c r="K457" s="92"/>
      <c r="L457" s="92"/>
      <c r="M457" s="92"/>
      <c r="N457" s="92"/>
      <c r="O457" s="1"/>
      <c r="P457" s="1"/>
      <c r="Q457" s="1"/>
      <c r="R457" s="1"/>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row>
    <row r="458" spans="1:64" x14ac:dyDescent="0.25">
      <c r="A458" s="1"/>
      <c r="B458" s="92"/>
      <c r="C458" s="92"/>
      <c r="D458" s="92"/>
      <c r="E458" s="92"/>
      <c r="F458" s="92"/>
      <c r="G458" s="92"/>
      <c r="H458" s="92"/>
      <c r="I458" s="92"/>
      <c r="J458" s="92"/>
      <c r="K458" s="92"/>
      <c r="L458" s="92"/>
      <c r="M458" s="92"/>
      <c r="N458" s="92"/>
      <c r="O458" s="1"/>
      <c r="P458" s="1"/>
      <c r="Q458" s="1"/>
      <c r="R458" s="1"/>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row>
    <row r="459" spans="1:64" x14ac:dyDescent="0.25">
      <c r="A459" s="1"/>
      <c r="B459" s="92"/>
      <c r="C459" s="92"/>
      <c r="D459" s="92"/>
      <c r="E459" s="92"/>
      <c r="F459" s="92"/>
      <c r="G459" s="92"/>
      <c r="H459" s="92"/>
      <c r="I459" s="92"/>
      <c r="J459" s="92"/>
      <c r="K459" s="92"/>
      <c r="L459" s="92"/>
      <c r="M459" s="92"/>
      <c r="N459" s="92"/>
      <c r="O459" s="1"/>
      <c r="P459" s="1"/>
      <c r="Q459" s="1"/>
      <c r="R459" s="1"/>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row>
    <row r="460" spans="1:64" x14ac:dyDescent="0.25">
      <c r="A460" s="1"/>
      <c r="B460" s="92"/>
      <c r="C460" s="92"/>
      <c r="D460" s="92"/>
      <c r="E460" s="92"/>
      <c r="F460" s="92"/>
      <c r="G460" s="92"/>
      <c r="H460" s="92"/>
      <c r="I460" s="92"/>
      <c r="J460" s="92"/>
      <c r="K460" s="92"/>
      <c r="L460" s="92"/>
      <c r="M460" s="92"/>
      <c r="N460" s="92"/>
      <c r="O460" s="1"/>
      <c r="P460" s="1"/>
      <c r="Q460" s="1"/>
      <c r="R460" s="1"/>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row>
    <row r="461" spans="1:64" x14ac:dyDescent="0.25">
      <c r="A461" s="1"/>
      <c r="B461" s="92"/>
      <c r="C461" s="92"/>
      <c r="D461" s="92"/>
      <c r="E461" s="92"/>
      <c r="F461" s="92"/>
      <c r="G461" s="92"/>
      <c r="H461" s="92"/>
      <c r="I461" s="92"/>
      <c r="J461" s="92"/>
      <c r="K461" s="92"/>
      <c r="L461" s="92"/>
      <c r="M461" s="92"/>
      <c r="N461" s="92"/>
      <c r="O461" s="1"/>
      <c r="P461" s="1"/>
      <c r="Q461" s="1"/>
      <c r="R461" s="1"/>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row>
    <row r="462" spans="1:64" x14ac:dyDescent="0.25">
      <c r="A462" s="1"/>
      <c r="B462" s="92"/>
      <c r="C462" s="92"/>
      <c r="D462" s="92"/>
      <c r="E462" s="92"/>
      <c r="F462" s="92"/>
      <c r="G462" s="92"/>
      <c r="H462" s="92"/>
      <c r="I462" s="92"/>
      <c r="J462" s="92"/>
      <c r="K462" s="92"/>
      <c r="L462" s="92"/>
      <c r="M462" s="92"/>
      <c r="N462" s="92"/>
      <c r="O462" s="1"/>
      <c r="P462" s="1"/>
      <c r="Q462" s="1"/>
      <c r="R462" s="1"/>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row>
    <row r="463" spans="1:64" x14ac:dyDescent="0.25">
      <c r="A463" s="1"/>
      <c r="B463" s="92"/>
      <c r="C463" s="92"/>
      <c r="D463" s="92"/>
      <c r="E463" s="92"/>
      <c r="F463" s="92"/>
      <c r="G463" s="92"/>
      <c r="H463" s="92"/>
      <c r="I463" s="92"/>
      <c r="J463" s="92"/>
      <c r="K463" s="92"/>
      <c r="L463" s="92"/>
      <c r="M463" s="92"/>
      <c r="N463" s="92"/>
      <c r="O463" s="1"/>
      <c r="P463" s="1"/>
      <c r="Q463" s="1"/>
      <c r="R463" s="1"/>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row>
    <row r="464" spans="1:64" x14ac:dyDescent="0.25">
      <c r="A464" s="1"/>
      <c r="B464" s="92"/>
      <c r="C464" s="92"/>
      <c r="D464" s="92"/>
      <c r="E464" s="92"/>
      <c r="F464" s="92"/>
      <c r="G464" s="92"/>
      <c r="H464" s="92"/>
      <c r="I464" s="92"/>
      <c r="J464" s="92"/>
      <c r="K464" s="92"/>
      <c r="L464" s="92"/>
      <c r="M464" s="92"/>
      <c r="N464" s="92"/>
      <c r="O464" s="1"/>
      <c r="P464" s="1"/>
      <c r="Q464" s="1"/>
      <c r="R464" s="1"/>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row>
    <row r="465" spans="1:64" x14ac:dyDescent="0.25">
      <c r="A465" s="1"/>
      <c r="B465" s="92"/>
      <c r="C465" s="92"/>
      <c r="D465" s="92"/>
      <c r="E465" s="92"/>
      <c r="F465" s="92"/>
      <c r="G465" s="92"/>
      <c r="H465" s="92"/>
      <c r="I465" s="92"/>
      <c r="J465" s="92"/>
      <c r="K465" s="92"/>
      <c r="L465" s="92"/>
      <c r="M465" s="92"/>
      <c r="N465" s="92"/>
      <c r="O465" s="1"/>
      <c r="P465" s="1"/>
      <c r="Q465" s="1"/>
      <c r="R465" s="1"/>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row>
    <row r="466" spans="1:64" x14ac:dyDescent="0.25">
      <c r="A466" s="1"/>
      <c r="B466" s="92"/>
      <c r="C466" s="92"/>
      <c r="D466" s="92"/>
      <c r="E466" s="92"/>
      <c r="F466" s="92"/>
      <c r="G466" s="92"/>
      <c r="H466" s="92"/>
      <c r="I466" s="92"/>
      <c r="J466" s="92"/>
      <c r="K466" s="92"/>
      <c r="L466" s="92"/>
      <c r="M466" s="92"/>
      <c r="N466" s="92"/>
      <c r="O466" s="1"/>
      <c r="P466" s="1"/>
      <c r="Q466" s="1"/>
      <c r="R466" s="1"/>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row>
    <row r="467" spans="1:64" x14ac:dyDescent="0.25">
      <c r="A467" s="1"/>
      <c r="B467" s="92"/>
      <c r="C467" s="92"/>
      <c r="D467" s="92"/>
      <c r="E467" s="92"/>
      <c r="F467" s="92"/>
      <c r="G467" s="92"/>
      <c r="H467" s="92"/>
      <c r="I467" s="92"/>
      <c r="J467" s="92"/>
      <c r="K467" s="92"/>
      <c r="L467" s="92"/>
      <c r="M467" s="92"/>
      <c r="N467" s="92"/>
      <c r="O467" s="1"/>
      <c r="P467" s="1"/>
      <c r="Q467" s="1"/>
      <c r="R467" s="1"/>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row>
    <row r="468" spans="1:64" x14ac:dyDescent="0.25">
      <c r="A468" s="1"/>
      <c r="B468" s="92"/>
      <c r="C468" s="92"/>
      <c r="D468" s="92"/>
      <c r="E468" s="92"/>
      <c r="F468" s="92"/>
      <c r="G468" s="92"/>
      <c r="H468" s="92"/>
      <c r="I468" s="92"/>
      <c r="J468" s="92"/>
      <c r="K468" s="92"/>
      <c r="L468" s="92"/>
      <c r="M468" s="92"/>
      <c r="N468" s="92"/>
      <c r="O468" s="1"/>
      <c r="P468" s="1"/>
      <c r="Q468" s="1"/>
      <c r="R468" s="1"/>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row>
    <row r="469" spans="1:64" x14ac:dyDescent="0.25">
      <c r="A469" s="1"/>
      <c r="B469" s="92"/>
      <c r="C469" s="92"/>
      <c r="D469" s="92"/>
      <c r="E469" s="92"/>
      <c r="F469" s="92"/>
      <c r="G469" s="92"/>
      <c r="H469" s="92"/>
      <c r="I469" s="92"/>
      <c r="J469" s="92"/>
      <c r="K469" s="92"/>
      <c r="L469" s="92"/>
      <c r="M469" s="92"/>
      <c r="N469" s="92"/>
      <c r="O469" s="1"/>
      <c r="P469" s="1"/>
      <c r="Q469" s="1"/>
      <c r="R469" s="1"/>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row>
    <row r="470" spans="1:64" x14ac:dyDescent="0.25">
      <c r="A470" s="1"/>
      <c r="B470" s="92"/>
      <c r="C470" s="92"/>
      <c r="D470" s="92"/>
      <c r="E470" s="92"/>
      <c r="F470" s="92"/>
      <c r="G470" s="92"/>
      <c r="H470" s="92"/>
      <c r="I470" s="92"/>
      <c r="J470" s="92"/>
      <c r="K470" s="92"/>
      <c r="L470" s="92"/>
      <c r="M470" s="92"/>
      <c r="N470" s="92"/>
      <c r="O470" s="1"/>
      <c r="P470" s="1"/>
      <c r="Q470" s="1"/>
      <c r="R470" s="1"/>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row>
    <row r="471" spans="1:64" x14ac:dyDescent="0.25">
      <c r="A471" s="1"/>
      <c r="B471" s="92"/>
      <c r="C471" s="92"/>
      <c r="D471" s="92"/>
      <c r="E471" s="92"/>
      <c r="F471" s="92"/>
      <c r="G471" s="92"/>
      <c r="H471" s="92"/>
      <c r="I471" s="92"/>
      <c r="J471" s="92"/>
      <c r="K471" s="92"/>
      <c r="L471" s="92"/>
      <c r="M471" s="92"/>
      <c r="N471" s="92"/>
      <c r="O471" s="1"/>
      <c r="P471" s="1"/>
      <c r="Q471" s="1"/>
      <c r="R471" s="1"/>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row>
    <row r="472" spans="1:64" x14ac:dyDescent="0.25">
      <c r="A472" s="1"/>
      <c r="B472" s="92"/>
      <c r="C472" s="92"/>
      <c r="D472" s="92"/>
      <c r="E472" s="92"/>
      <c r="F472" s="92"/>
      <c r="G472" s="92"/>
      <c r="H472" s="92"/>
      <c r="I472" s="92"/>
      <c r="J472" s="92"/>
      <c r="K472" s="92"/>
      <c r="L472" s="92"/>
      <c r="M472" s="92"/>
      <c r="N472" s="92"/>
      <c r="O472" s="1"/>
      <c r="P472" s="1"/>
      <c r="Q472" s="1"/>
      <c r="R472" s="1"/>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row>
    <row r="473" spans="1:64" x14ac:dyDescent="0.25">
      <c r="A473" s="1"/>
      <c r="B473" s="92"/>
      <c r="C473" s="92"/>
      <c r="D473" s="92"/>
      <c r="E473" s="92"/>
      <c r="F473" s="92"/>
      <c r="G473" s="92"/>
      <c r="H473" s="92"/>
      <c r="I473" s="92"/>
      <c r="J473" s="92"/>
      <c r="K473" s="92"/>
      <c r="L473" s="92"/>
      <c r="M473" s="92"/>
      <c r="N473" s="92"/>
      <c r="O473" s="1"/>
      <c r="P473" s="1"/>
      <c r="Q473" s="1"/>
      <c r="R473" s="1"/>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row>
    <row r="474" spans="1:64" x14ac:dyDescent="0.25">
      <c r="A474" s="1"/>
      <c r="B474" s="92"/>
      <c r="C474" s="92"/>
      <c r="D474" s="92"/>
      <c r="E474" s="92"/>
      <c r="F474" s="92"/>
      <c r="G474" s="92"/>
      <c r="H474" s="92"/>
      <c r="I474" s="92"/>
      <c r="J474" s="92"/>
      <c r="K474" s="92"/>
      <c r="L474" s="92"/>
      <c r="M474" s="92"/>
      <c r="N474" s="92"/>
      <c r="O474" s="1"/>
      <c r="P474" s="1"/>
      <c r="Q474" s="1"/>
      <c r="R474" s="1"/>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row>
    <row r="475" spans="1:64" x14ac:dyDescent="0.25">
      <c r="A475" s="1"/>
      <c r="B475" s="92"/>
      <c r="C475" s="92"/>
      <c r="D475" s="92"/>
      <c r="E475" s="92"/>
      <c r="F475" s="92"/>
      <c r="G475" s="92"/>
      <c r="H475" s="92"/>
      <c r="I475" s="92"/>
      <c r="J475" s="92"/>
      <c r="K475" s="92"/>
      <c r="L475" s="92"/>
      <c r="M475" s="92"/>
      <c r="N475" s="92"/>
      <c r="O475" s="1"/>
      <c r="P475" s="1"/>
      <c r="Q475" s="1"/>
      <c r="R475" s="1"/>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row>
    <row r="476" spans="1:64" x14ac:dyDescent="0.25">
      <c r="A476" s="1"/>
      <c r="B476" s="92"/>
      <c r="C476" s="92"/>
      <c r="D476" s="92"/>
      <c r="E476" s="92"/>
      <c r="F476" s="92"/>
      <c r="G476" s="92"/>
      <c r="H476" s="92"/>
      <c r="I476" s="92"/>
      <c r="J476" s="92"/>
      <c r="K476" s="92"/>
      <c r="L476" s="92"/>
      <c r="M476" s="92"/>
      <c r="N476" s="92"/>
      <c r="O476" s="1"/>
      <c r="P476" s="1"/>
      <c r="Q476" s="1"/>
      <c r="R476" s="1"/>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row>
    <row r="477" spans="1:64" x14ac:dyDescent="0.25">
      <c r="A477" s="1"/>
      <c r="B477" s="92"/>
      <c r="C477" s="92"/>
      <c r="D477" s="92"/>
      <c r="E477" s="92"/>
      <c r="F477" s="92"/>
      <c r="G477" s="92"/>
      <c r="H477" s="92"/>
      <c r="I477" s="92"/>
      <c r="J477" s="92"/>
      <c r="K477" s="92"/>
      <c r="L477" s="92"/>
      <c r="M477" s="92"/>
      <c r="N477" s="92"/>
      <c r="O477" s="1"/>
      <c r="P477" s="1"/>
      <c r="Q477" s="1"/>
      <c r="R477" s="1"/>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row>
    <row r="478" spans="1:64" x14ac:dyDescent="0.25">
      <c r="A478" s="1"/>
      <c r="B478" s="92"/>
      <c r="C478" s="92"/>
      <c r="D478" s="92"/>
      <c r="E478" s="92"/>
      <c r="F478" s="92"/>
      <c r="G478" s="92"/>
      <c r="H478" s="92"/>
      <c r="I478" s="92"/>
      <c r="J478" s="92"/>
      <c r="K478" s="92"/>
      <c r="L478" s="92"/>
      <c r="M478" s="92"/>
      <c r="N478" s="92"/>
      <c r="O478" s="1"/>
      <c r="P478" s="1"/>
      <c r="Q478" s="1"/>
      <c r="R478" s="1"/>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row>
    <row r="479" spans="1:64" x14ac:dyDescent="0.25">
      <c r="A479" s="1"/>
      <c r="B479" s="92"/>
      <c r="C479" s="92"/>
      <c r="D479" s="92"/>
      <c r="E479" s="92"/>
      <c r="F479" s="92"/>
      <c r="G479" s="92"/>
      <c r="H479" s="92"/>
      <c r="I479" s="92"/>
      <c r="J479" s="92"/>
      <c r="K479" s="92"/>
      <c r="L479" s="92"/>
      <c r="M479" s="92"/>
      <c r="N479" s="92"/>
      <c r="O479" s="1"/>
      <c r="P479" s="1"/>
      <c r="Q479" s="1"/>
      <c r="R479" s="1"/>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row>
    <row r="480" spans="1:64" x14ac:dyDescent="0.25">
      <c r="A480" s="1"/>
      <c r="B480" s="92"/>
      <c r="C480" s="92"/>
      <c r="D480" s="92"/>
      <c r="E480" s="92"/>
      <c r="F480" s="92"/>
      <c r="G480" s="92"/>
      <c r="H480" s="92"/>
      <c r="I480" s="92"/>
      <c r="J480" s="92"/>
      <c r="K480" s="92"/>
      <c r="L480" s="92"/>
      <c r="M480" s="92"/>
      <c r="N480" s="92"/>
      <c r="O480" s="1"/>
      <c r="P480" s="1"/>
      <c r="Q480" s="1"/>
      <c r="R480" s="1"/>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row>
    <row r="481" spans="1:64" x14ac:dyDescent="0.25">
      <c r="A481" s="1"/>
      <c r="B481" s="92"/>
      <c r="C481" s="92"/>
      <c r="D481" s="92"/>
      <c r="E481" s="92"/>
      <c r="F481" s="92"/>
      <c r="G481" s="92"/>
      <c r="H481" s="92"/>
      <c r="I481" s="92"/>
      <c r="J481" s="92"/>
      <c r="K481" s="92"/>
      <c r="L481" s="92"/>
      <c r="M481" s="92"/>
      <c r="N481" s="92"/>
      <c r="O481" s="1"/>
      <c r="P481" s="1"/>
      <c r="Q481" s="1"/>
      <c r="R481" s="1"/>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row>
    <row r="482" spans="1:64" x14ac:dyDescent="0.25">
      <c r="A482" s="1"/>
      <c r="B482" s="92"/>
      <c r="C482" s="92"/>
      <c r="D482" s="92"/>
      <c r="E482" s="92"/>
      <c r="F482" s="92"/>
      <c r="G482" s="92"/>
      <c r="H482" s="92"/>
      <c r="I482" s="92"/>
      <c r="J482" s="92"/>
      <c r="K482" s="92"/>
      <c r="L482" s="92"/>
      <c r="M482" s="92"/>
      <c r="N482" s="92"/>
      <c r="O482" s="1"/>
      <c r="P482" s="1"/>
      <c r="Q482" s="1"/>
      <c r="R482" s="1"/>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row>
    <row r="483" spans="1:64" x14ac:dyDescent="0.25">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row>
    <row r="484" spans="1:64" x14ac:dyDescent="0.25">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row>
    <row r="485" spans="1:64" x14ac:dyDescent="0.25">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row>
    <row r="486" spans="1:64" x14ac:dyDescent="0.25">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row>
    <row r="487" spans="1:64" x14ac:dyDescent="0.25">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row>
    <row r="488" spans="1:64" x14ac:dyDescent="0.25">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row>
  </sheetData>
  <sheetProtection password="A8F5" sheet="1" objects="1" scenarios="1"/>
  <mergeCells count="3">
    <mergeCell ref="C7:M7"/>
    <mergeCell ref="C27:M27"/>
    <mergeCell ref="C46:M46"/>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4" r:id="rId3" name="Drop Down 2">
              <controlPr defaultSize="0" autoLine="0" autoPict="0">
                <anchor moveWithCells="1">
                  <from>
                    <xdr:col>2</xdr:col>
                    <xdr:colOff>0</xdr:colOff>
                    <xdr:row>0</xdr:row>
                    <xdr:rowOff>152400</xdr:rowOff>
                  </from>
                  <to>
                    <xdr:col>4</xdr:col>
                    <xdr:colOff>47625</xdr:colOff>
                    <xdr:row>1</xdr:row>
                    <xdr:rowOff>123825</xdr:rowOff>
                  </to>
                </anchor>
              </controlPr>
            </control>
          </mc:Choice>
        </mc:AlternateContent>
        <mc:AlternateContent xmlns:mc="http://schemas.openxmlformats.org/markup-compatibility/2006">
          <mc:Choice Requires="x14">
            <control shapeId="8196" r:id="rId4" name="Scroll Bar 4">
              <controlPr defaultSize="0" autoPict="0">
                <anchor moveWithCells="1">
                  <from>
                    <xdr:col>2</xdr:col>
                    <xdr:colOff>114300</xdr:colOff>
                    <xdr:row>2</xdr:row>
                    <xdr:rowOff>38100</xdr:rowOff>
                  </from>
                  <to>
                    <xdr:col>4</xdr:col>
                    <xdr:colOff>38100</xdr:colOff>
                    <xdr:row>3</xdr:row>
                    <xdr:rowOff>47625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E30" sqref="E30"/>
    </sheetView>
  </sheetViews>
  <sheetFormatPr baseColWidth="10" defaultRowHeight="15" x14ac:dyDescent="0.25"/>
  <cols>
    <col min="1" max="1" width="25.42578125" customWidth="1"/>
  </cols>
  <sheetData>
    <row r="1" spans="1:2" x14ac:dyDescent="0.25">
      <c r="A1" s="94" t="s">
        <v>1254</v>
      </c>
    </row>
    <row r="2" spans="1:2" x14ac:dyDescent="0.25">
      <c r="A2" s="94"/>
    </row>
    <row r="3" spans="1:2" x14ac:dyDescent="0.25">
      <c r="A3" s="95" t="s">
        <v>163</v>
      </c>
    </row>
    <row r="4" spans="1:2" x14ac:dyDescent="0.25">
      <c r="A4" s="30" t="s">
        <v>196</v>
      </c>
      <c r="B4">
        <f>Fokus1!D154</f>
        <v>0.74358974358974361</v>
      </c>
    </row>
    <row r="5" spans="1:2" x14ac:dyDescent="0.25">
      <c r="A5" s="30" t="s">
        <v>197</v>
      </c>
      <c r="B5">
        <f>Fokus1!D155</f>
        <v>2.564102564102564E-2</v>
      </c>
    </row>
    <row r="6" spans="1:2" x14ac:dyDescent="0.25">
      <c r="A6" s="30" t="s">
        <v>198</v>
      </c>
      <c r="B6">
        <f>Fokus1!D156</f>
        <v>2.564102564102564E-2</v>
      </c>
    </row>
    <row r="7" spans="1:2" x14ac:dyDescent="0.25">
      <c r="A7" s="30" t="s">
        <v>199</v>
      </c>
      <c r="B7">
        <f>Fokus1!D157</f>
        <v>0.11538461538461539</v>
      </c>
    </row>
    <row r="8" spans="1:2" x14ac:dyDescent="0.25">
      <c r="A8" s="91" t="s">
        <v>200</v>
      </c>
      <c r="B8">
        <f>Fokus1!D158</f>
        <v>8.9743589743589744E-2</v>
      </c>
    </row>
    <row r="9" spans="1:2" x14ac:dyDescent="0.25">
      <c r="A9" s="91"/>
    </row>
    <row r="10" spans="1:2" x14ac:dyDescent="0.25">
      <c r="A10" s="96" t="s">
        <v>1255</v>
      </c>
    </row>
    <row r="11" spans="1:2" x14ac:dyDescent="0.25">
      <c r="A11" s="30" t="s">
        <v>196</v>
      </c>
      <c r="B11">
        <f>Fokus1!H154</f>
        <v>9.5238095238095233E-2</v>
      </c>
    </row>
    <row r="12" spans="1:2" x14ac:dyDescent="0.25">
      <c r="A12" s="30" t="s">
        <v>197</v>
      </c>
      <c r="B12">
        <f>Fokus1!H155</f>
        <v>1.5873015873015872E-2</v>
      </c>
    </row>
    <row r="13" spans="1:2" x14ac:dyDescent="0.25">
      <c r="A13" s="30" t="s">
        <v>198</v>
      </c>
      <c r="B13">
        <f>Fokus1!H156</f>
        <v>9.5238095238095233E-2</v>
      </c>
    </row>
    <row r="14" spans="1:2" x14ac:dyDescent="0.25">
      <c r="A14" s="5" t="s">
        <v>199</v>
      </c>
      <c r="B14">
        <f>Fokus1!H157</f>
        <v>0.44444444444444442</v>
      </c>
    </row>
    <row r="15" spans="1:2" x14ac:dyDescent="0.25">
      <c r="A15" s="91" t="s">
        <v>200</v>
      </c>
      <c r="B15">
        <f>Fokus1!H158</f>
        <v>0.34920634920634919</v>
      </c>
    </row>
    <row r="18" spans="1:2" x14ac:dyDescent="0.25">
      <c r="A18" s="94" t="s">
        <v>1256</v>
      </c>
    </row>
    <row r="20" spans="1:2" x14ac:dyDescent="0.25">
      <c r="A20" s="30" t="s">
        <v>201</v>
      </c>
      <c r="B20">
        <f>Fokus1!D178</f>
        <v>0.19310344827586207</v>
      </c>
    </row>
    <row r="21" spans="1:2" x14ac:dyDescent="0.25">
      <c r="A21" s="30" t="s">
        <v>202</v>
      </c>
      <c r="B21">
        <f>Fokus1!D179</f>
        <v>0.40689655172413791</v>
      </c>
    </row>
    <row r="22" spans="1:2" x14ac:dyDescent="0.25">
      <c r="A22" s="30" t="s">
        <v>203</v>
      </c>
      <c r="B22">
        <f>Fokus1!D180</f>
        <v>4.1379310344827586E-2</v>
      </c>
    </row>
    <row r="23" spans="1:2" x14ac:dyDescent="0.25">
      <c r="A23" s="30" t="s">
        <v>204</v>
      </c>
      <c r="B23">
        <f>Fokus1!D181</f>
        <v>0</v>
      </c>
    </row>
    <row r="24" spans="1:2" x14ac:dyDescent="0.25">
      <c r="A24" s="30" t="s">
        <v>205</v>
      </c>
      <c r="B24">
        <f>Fokus1!D182</f>
        <v>0.1310344827586207</v>
      </c>
    </row>
    <row r="25" spans="1:2" x14ac:dyDescent="0.25">
      <c r="A25" s="30" t="s">
        <v>206</v>
      </c>
      <c r="B25">
        <f>Fokus1!D183</f>
        <v>0.17241379310344829</v>
      </c>
    </row>
    <row r="26" spans="1:2" x14ac:dyDescent="0.25">
      <c r="A26" s="30" t="s">
        <v>207</v>
      </c>
      <c r="B26">
        <f>Fokus1!D184</f>
        <v>5.5172413793103448E-2</v>
      </c>
    </row>
    <row r="29" spans="1:2" x14ac:dyDescent="0.25">
      <c r="A29" s="3" t="s">
        <v>1257</v>
      </c>
    </row>
    <row r="31" spans="1:2" x14ac:dyDescent="0.25">
      <c r="A31" s="95" t="s">
        <v>1258</v>
      </c>
    </row>
    <row r="32" spans="1:2" x14ac:dyDescent="0.25">
      <c r="A32" s="30" t="s">
        <v>104</v>
      </c>
      <c r="B32">
        <f>Fokus1!D190</f>
        <v>2.3529411764705882E-2</v>
      </c>
    </row>
    <row r="33" spans="1:2" x14ac:dyDescent="0.25">
      <c r="A33" s="30" t="s">
        <v>208</v>
      </c>
      <c r="B33">
        <f>Fokus1!D191</f>
        <v>9.4117647058823528E-2</v>
      </c>
    </row>
    <row r="34" spans="1:2" x14ac:dyDescent="0.25">
      <c r="A34" s="30" t="s">
        <v>209</v>
      </c>
      <c r="B34">
        <f>Fokus1!D192</f>
        <v>0.52941176470588236</v>
      </c>
    </row>
    <row r="35" spans="1:2" x14ac:dyDescent="0.25">
      <c r="A35" s="30" t="s">
        <v>210</v>
      </c>
      <c r="B35">
        <f>Fokus1!D193</f>
        <v>0.35294117647058826</v>
      </c>
    </row>
    <row r="37" spans="1:2" x14ac:dyDescent="0.25">
      <c r="A37" s="95" t="s">
        <v>91</v>
      </c>
    </row>
    <row r="38" spans="1:2" x14ac:dyDescent="0.25">
      <c r="A38" s="30" t="s">
        <v>104</v>
      </c>
      <c r="B38">
        <f>Fokus1!H190</f>
        <v>0.84126984126984128</v>
      </c>
    </row>
    <row r="39" spans="1:2" x14ac:dyDescent="0.25">
      <c r="A39" s="30" t="s">
        <v>208</v>
      </c>
      <c r="B39">
        <f>Fokus1!H191</f>
        <v>0.12698412698412698</v>
      </c>
    </row>
    <row r="40" spans="1:2" x14ac:dyDescent="0.25">
      <c r="A40" s="30" t="s">
        <v>209</v>
      </c>
      <c r="B40">
        <f>Fokus1!H192</f>
        <v>3.1746031746031744E-2</v>
      </c>
    </row>
    <row r="41" spans="1:2" x14ac:dyDescent="0.25">
      <c r="A41" s="30" t="s">
        <v>210</v>
      </c>
      <c r="B41">
        <f>Fokus1!H193</f>
        <v>0</v>
      </c>
    </row>
    <row r="44" spans="1:2" x14ac:dyDescent="0.25">
      <c r="A44" s="3" t="s">
        <v>1259</v>
      </c>
    </row>
    <row r="46" spans="1:2" x14ac:dyDescent="0.25">
      <c r="A46" s="30" t="s">
        <v>88</v>
      </c>
      <c r="B46">
        <f>Fokus1!D264</f>
        <v>0.13069908814589665</v>
      </c>
    </row>
    <row r="47" spans="1:2" x14ac:dyDescent="0.25">
      <c r="A47" s="30" t="s">
        <v>89</v>
      </c>
      <c r="B47">
        <f>Fokus1!D265</f>
        <v>0.18237082066869301</v>
      </c>
    </row>
    <row r="48" spans="1:2" x14ac:dyDescent="0.25">
      <c r="A48" s="35" t="s">
        <v>230</v>
      </c>
      <c r="B48">
        <f>Fokus1!D266</f>
        <v>0.1641337386018237</v>
      </c>
    </row>
    <row r="49" spans="1:2" x14ac:dyDescent="0.25">
      <c r="A49" s="35" t="s">
        <v>91</v>
      </c>
      <c r="B49">
        <f>Fokus1!D267</f>
        <v>1.82370820668693E-2</v>
      </c>
    </row>
    <row r="50" spans="1:2" x14ac:dyDescent="0.25">
      <c r="A50" s="30" t="s">
        <v>92</v>
      </c>
      <c r="B50">
        <f>Fokus1!D268</f>
        <v>0.18237082066869301</v>
      </c>
    </row>
    <row r="51" spans="1:2" x14ac:dyDescent="0.25">
      <c r="A51" s="35" t="s">
        <v>93</v>
      </c>
      <c r="B51">
        <f>Fokus1!D269</f>
        <v>0.1337386018237082</v>
      </c>
    </row>
    <row r="52" spans="1:2" x14ac:dyDescent="0.25">
      <c r="A52" s="35" t="s">
        <v>94</v>
      </c>
      <c r="B52">
        <f>Fokus1!D270</f>
        <v>0.11550151975683891</v>
      </c>
    </row>
    <row r="53" spans="1:2" x14ac:dyDescent="0.25">
      <c r="A53" s="35" t="s">
        <v>95</v>
      </c>
      <c r="B53">
        <f>Fokus1!D271</f>
        <v>7.29483282674772E-2</v>
      </c>
    </row>
  </sheetData>
  <pageMargins left="0.7" right="0.7" top="0.78740157499999996" bottom="0.78740157499999996"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dimension ref="A1:EF160"/>
  <sheetViews>
    <sheetView topLeftCell="CX1" zoomScale="70" zoomScaleNormal="70" zoomScalePageLayoutView="70" workbookViewId="0">
      <pane ySplit="5" topLeftCell="A6" activePane="bottomLeft" state="frozen"/>
      <selection activeCell="DM8" sqref="DM8"/>
      <selection pane="bottomLeft" activeCell="DE31" sqref="DE31"/>
    </sheetView>
  </sheetViews>
  <sheetFormatPr baseColWidth="10" defaultColWidth="10.85546875" defaultRowHeight="15.75" x14ac:dyDescent="0.25"/>
  <cols>
    <col min="1" max="3" width="10.85546875" style="37"/>
    <col min="4" max="8" width="10.85546875" style="48"/>
    <col min="9" max="9" width="14.28515625" style="48" customWidth="1"/>
    <col min="10" max="10" width="10.85546875" style="48"/>
    <col min="11" max="11" width="18.140625" style="48" bestFit="1" customWidth="1"/>
    <col min="12" max="92" width="10.85546875" style="48"/>
    <col min="93" max="93" width="10.85546875" style="135"/>
    <col min="94" max="115" width="10.85546875" style="48"/>
    <col min="116" max="116" width="13.85546875" style="48" bestFit="1" customWidth="1"/>
    <col min="117" max="117" width="10.85546875" style="37"/>
    <col min="118" max="118" width="37.85546875" style="37" customWidth="1"/>
    <col min="119" max="16384" width="10.85546875" style="37"/>
  </cols>
  <sheetData>
    <row r="1" spans="1:136" s="48" customFormat="1" x14ac:dyDescent="0.25">
      <c r="C1" s="48">
        <v>0</v>
      </c>
      <c r="D1" s="48">
        <v>1</v>
      </c>
      <c r="E1" s="48">
        <v>2</v>
      </c>
      <c r="F1" s="48">
        <v>3</v>
      </c>
      <c r="G1" s="48">
        <v>4</v>
      </c>
      <c r="H1" s="48">
        <v>5</v>
      </c>
      <c r="I1" s="48">
        <v>6</v>
      </c>
      <c r="J1" s="48">
        <v>7</v>
      </c>
      <c r="K1" s="48">
        <v>8</v>
      </c>
      <c r="L1" s="48">
        <v>9</v>
      </c>
      <c r="M1" s="48">
        <v>10</v>
      </c>
      <c r="N1" s="48">
        <v>11</v>
      </c>
      <c r="O1" s="48">
        <v>12</v>
      </c>
      <c r="P1" s="48">
        <v>13</v>
      </c>
      <c r="Q1" s="48">
        <v>14</v>
      </c>
      <c r="R1" s="48">
        <v>15</v>
      </c>
      <c r="S1" s="48">
        <v>16</v>
      </c>
      <c r="T1" s="48">
        <v>17</v>
      </c>
      <c r="U1" s="48">
        <v>18</v>
      </c>
      <c r="V1" s="48">
        <v>19</v>
      </c>
      <c r="W1" s="48">
        <v>20</v>
      </c>
      <c r="X1" s="48">
        <v>21</v>
      </c>
      <c r="Y1" s="48">
        <v>22</v>
      </c>
      <c r="Z1" s="48">
        <v>23</v>
      </c>
      <c r="AA1" s="48">
        <v>24</v>
      </c>
      <c r="AB1" s="48">
        <v>25</v>
      </c>
      <c r="AC1" s="48">
        <v>26</v>
      </c>
      <c r="AD1" s="48">
        <v>27</v>
      </c>
      <c r="AE1" s="48">
        <v>28</v>
      </c>
      <c r="AF1" s="48">
        <v>29</v>
      </c>
      <c r="AG1" s="48">
        <v>30</v>
      </c>
      <c r="AH1" s="48">
        <v>31</v>
      </c>
      <c r="AI1" s="48">
        <v>32</v>
      </c>
      <c r="AJ1" s="48">
        <v>33</v>
      </c>
      <c r="AK1" s="48">
        <v>34</v>
      </c>
      <c r="AL1" s="48">
        <v>35</v>
      </c>
      <c r="AM1" s="48">
        <v>36</v>
      </c>
      <c r="AN1" s="48">
        <v>37</v>
      </c>
      <c r="AO1" s="48">
        <v>38</v>
      </c>
      <c r="AP1" s="48">
        <v>39</v>
      </c>
      <c r="AQ1" s="48">
        <v>40</v>
      </c>
      <c r="AR1" s="48">
        <v>41</v>
      </c>
      <c r="AS1" s="48">
        <v>42</v>
      </c>
      <c r="AT1" s="48">
        <v>43</v>
      </c>
      <c r="AU1" s="48">
        <v>44</v>
      </c>
      <c r="AV1" s="48">
        <v>45</v>
      </c>
      <c r="AW1" s="48">
        <v>46</v>
      </c>
      <c r="AX1" s="48">
        <v>47</v>
      </c>
      <c r="AY1" s="48">
        <v>48</v>
      </c>
      <c r="AZ1" s="48">
        <v>49</v>
      </c>
      <c r="BA1" s="48">
        <v>50</v>
      </c>
      <c r="BB1" s="48">
        <v>51</v>
      </c>
      <c r="BC1" s="48">
        <v>52</v>
      </c>
      <c r="BD1" s="48">
        <v>53</v>
      </c>
      <c r="BE1" s="48">
        <v>54</v>
      </c>
      <c r="BF1" s="48">
        <v>55</v>
      </c>
      <c r="BG1" s="48">
        <v>56</v>
      </c>
      <c r="BH1" s="48">
        <v>57</v>
      </c>
      <c r="BI1" s="48">
        <v>58</v>
      </c>
      <c r="BJ1" s="48">
        <v>59</v>
      </c>
      <c r="BK1" s="48">
        <v>60</v>
      </c>
      <c r="BL1" s="48">
        <v>61</v>
      </c>
      <c r="BM1" s="48">
        <v>62</v>
      </c>
      <c r="BN1" s="48">
        <v>63</v>
      </c>
      <c r="BO1" s="48">
        <v>64</v>
      </c>
      <c r="BP1" s="48">
        <v>65</v>
      </c>
      <c r="BQ1" s="48">
        <v>66</v>
      </c>
      <c r="BR1" s="48">
        <v>67</v>
      </c>
      <c r="BS1" s="48">
        <v>68</v>
      </c>
      <c r="BT1" s="48">
        <v>69</v>
      </c>
      <c r="BU1" s="48">
        <v>70</v>
      </c>
      <c r="BV1" s="48">
        <v>71</v>
      </c>
      <c r="BW1" s="48">
        <v>72</v>
      </c>
      <c r="BX1" s="48">
        <v>73</v>
      </c>
      <c r="BY1" s="48">
        <v>74</v>
      </c>
      <c r="BZ1" s="48">
        <v>75</v>
      </c>
      <c r="CA1" s="48">
        <v>76</v>
      </c>
      <c r="CB1" s="48">
        <v>77</v>
      </c>
      <c r="CC1" s="48">
        <v>78</v>
      </c>
      <c r="CD1" s="48">
        <v>79</v>
      </c>
      <c r="CE1" s="48">
        <v>80</v>
      </c>
      <c r="CF1" s="48">
        <v>81</v>
      </c>
      <c r="CG1" s="48">
        <v>82</v>
      </c>
      <c r="CH1" s="48">
        <v>83</v>
      </c>
      <c r="CI1" s="48">
        <v>84</v>
      </c>
      <c r="CJ1" s="48">
        <v>85</v>
      </c>
      <c r="CK1" s="48">
        <v>86</v>
      </c>
      <c r="CL1" s="48">
        <v>87</v>
      </c>
      <c r="CM1" s="48">
        <v>88</v>
      </c>
      <c r="CN1" s="48">
        <v>89</v>
      </c>
      <c r="CO1" s="135">
        <v>90</v>
      </c>
      <c r="CP1" s="48">
        <v>91</v>
      </c>
      <c r="CQ1" s="48">
        <v>92</v>
      </c>
      <c r="CR1" s="48">
        <v>93</v>
      </c>
      <c r="CS1" s="48">
        <v>94</v>
      </c>
      <c r="CT1" s="48">
        <v>95</v>
      </c>
      <c r="CU1" s="48">
        <v>96</v>
      </c>
      <c r="CV1" s="48">
        <v>97</v>
      </c>
      <c r="CW1" s="48">
        <v>98</v>
      </c>
      <c r="CX1" s="48">
        <v>99</v>
      </c>
      <c r="CY1" s="48">
        <v>100</v>
      </c>
      <c r="CZ1" s="48">
        <v>101</v>
      </c>
      <c r="DA1" s="48">
        <v>102</v>
      </c>
      <c r="DB1" s="48">
        <v>103</v>
      </c>
      <c r="DC1" s="48">
        <v>104</v>
      </c>
      <c r="DD1" s="48">
        <v>105</v>
      </c>
      <c r="DE1" s="48">
        <v>106</v>
      </c>
      <c r="DF1" s="48">
        <v>107</v>
      </c>
      <c r="DG1" s="48">
        <v>108</v>
      </c>
      <c r="DH1" s="48">
        <v>109</v>
      </c>
      <c r="DI1" s="48">
        <v>110</v>
      </c>
      <c r="DJ1" s="48">
        <v>111</v>
      </c>
      <c r="DK1" s="48">
        <v>112</v>
      </c>
      <c r="DL1" s="48">
        <v>113</v>
      </c>
      <c r="DN1" s="48">
        <v>108</v>
      </c>
      <c r="DO1" s="48">
        <v>109</v>
      </c>
      <c r="DP1" s="48">
        <v>110</v>
      </c>
      <c r="DQ1" s="48">
        <v>111</v>
      </c>
      <c r="DR1" s="48">
        <v>112</v>
      </c>
      <c r="DS1" s="48">
        <v>113</v>
      </c>
      <c r="DT1" s="48">
        <v>114</v>
      </c>
      <c r="DU1" s="48">
        <v>115</v>
      </c>
      <c r="DV1" s="48">
        <v>116</v>
      </c>
      <c r="DW1" s="48">
        <v>117</v>
      </c>
      <c r="DX1" s="48">
        <v>118</v>
      </c>
      <c r="DY1" s="48">
        <v>119</v>
      </c>
      <c r="DZ1" s="48">
        <v>120</v>
      </c>
      <c r="EA1" s="48">
        <v>121</v>
      </c>
      <c r="EB1" s="48">
        <v>122</v>
      </c>
      <c r="EC1" s="48">
        <v>123</v>
      </c>
      <c r="ED1" s="48">
        <v>124</v>
      </c>
      <c r="EE1" s="48">
        <v>125</v>
      </c>
      <c r="EF1" s="48">
        <v>126</v>
      </c>
    </row>
    <row r="2" spans="1:136" x14ac:dyDescent="0.25">
      <c r="C2" s="37" t="s">
        <v>910</v>
      </c>
      <c r="D2" s="102" t="s">
        <v>911</v>
      </c>
      <c r="E2" s="37" t="s">
        <v>912</v>
      </c>
      <c r="F2" s="102" t="s">
        <v>913</v>
      </c>
      <c r="G2" s="102" t="s">
        <v>914</v>
      </c>
      <c r="H2" s="102" t="s">
        <v>915</v>
      </c>
      <c r="I2" s="37" t="s">
        <v>916</v>
      </c>
      <c r="J2" s="102" t="s">
        <v>917</v>
      </c>
      <c r="K2" s="102" t="s">
        <v>918</v>
      </c>
      <c r="L2" s="102" t="s">
        <v>919</v>
      </c>
      <c r="M2" s="102" t="s">
        <v>920</v>
      </c>
      <c r="N2" s="102" t="s">
        <v>921</v>
      </c>
      <c r="O2" s="102" t="s">
        <v>922</v>
      </c>
      <c r="P2" s="102" t="s">
        <v>923</v>
      </c>
      <c r="Q2" s="102" t="s">
        <v>924</v>
      </c>
      <c r="R2" s="37" t="s">
        <v>925</v>
      </c>
      <c r="S2" s="37" t="s">
        <v>926</v>
      </c>
      <c r="T2" s="37" t="s">
        <v>927</v>
      </c>
      <c r="U2" s="37" t="s">
        <v>928</v>
      </c>
      <c r="V2" s="37" t="s">
        <v>929</v>
      </c>
      <c r="W2" s="37" t="s">
        <v>930</v>
      </c>
      <c r="X2" s="37" t="s">
        <v>931</v>
      </c>
      <c r="Y2" s="37" t="s">
        <v>932</v>
      </c>
      <c r="Z2" s="37" t="s">
        <v>933</v>
      </c>
      <c r="AA2" s="37" t="s">
        <v>934</v>
      </c>
      <c r="AB2" s="102" t="s">
        <v>935</v>
      </c>
      <c r="AC2" s="102" t="s">
        <v>936</v>
      </c>
      <c r="AD2" s="102" t="s">
        <v>937</v>
      </c>
      <c r="AE2" s="102" t="s">
        <v>938</v>
      </c>
      <c r="AF2" s="102" t="s">
        <v>939</v>
      </c>
      <c r="AG2" s="102" t="s">
        <v>940</v>
      </c>
      <c r="AH2" s="37" t="s">
        <v>941</v>
      </c>
      <c r="AI2" s="37" t="s">
        <v>942</v>
      </c>
      <c r="AJ2" s="37" t="s">
        <v>943</v>
      </c>
      <c r="AK2" s="37" t="s">
        <v>944</v>
      </c>
      <c r="AL2" s="37" t="s">
        <v>945</v>
      </c>
      <c r="AM2" s="37" t="s">
        <v>946</v>
      </c>
      <c r="AN2" s="37" t="s">
        <v>947</v>
      </c>
      <c r="AO2" s="37" t="s">
        <v>948</v>
      </c>
      <c r="AP2" s="37" t="s">
        <v>949</v>
      </c>
      <c r="AQ2" s="37" t="s">
        <v>950</v>
      </c>
      <c r="AR2" s="37" t="s">
        <v>951</v>
      </c>
      <c r="AS2" s="37" t="s">
        <v>952</v>
      </c>
      <c r="AT2" s="37" t="s">
        <v>953</v>
      </c>
      <c r="AU2" s="37" t="s">
        <v>954</v>
      </c>
      <c r="AV2" s="37" t="s">
        <v>955</v>
      </c>
      <c r="AW2" s="37" t="s">
        <v>956</v>
      </c>
      <c r="AX2" s="37" t="s">
        <v>957</v>
      </c>
      <c r="AY2" s="37" t="s">
        <v>958</v>
      </c>
      <c r="AZ2" s="37" t="s">
        <v>959</v>
      </c>
      <c r="BA2" s="37" t="s">
        <v>960</v>
      </c>
      <c r="BB2" s="37" t="s">
        <v>961</v>
      </c>
      <c r="BC2" s="37" t="s">
        <v>962</v>
      </c>
      <c r="BD2" s="37" t="s">
        <v>963</v>
      </c>
      <c r="BE2" s="37" t="s">
        <v>964</v>
      </c>
      <c r="BF2" s="37" t="s">
        <v>965</v>
      </c>
      <c r="BG2" s="37" t="s">
        <v>966</v>
      </c>
      <c r="BH2" s="37" t="s">
        <v>967</v>
      </c>
      <c r="BI2" s="37" t="s">
        <v>968</v>
      </c>
      <c r="BJ2" s="37" t="s">
        <v>969</v>
      </c>
      <c r="BK2" s="37" t="s">
        <v>970</v>
      </c>
      <c r="BL2" s="37" t="s">
        <v>971</v>
      </c>
      <c r="BM2" s="37" t="s">
        <v>972</v>
      </c>
      <c r="BN2" s="37" t="s">
        <v>973</v>
      </c>
      <c r="BO2" s="37" t="s">
        <v>974</v>
      </c>
      <c r="BP2" s="37" t="s">
        <v>975</v>
      </c>
      <c r="BQ2" s="37" t="s">
        <v>976</v>
      </c>
      <c r="BR2" s="37" t="s">
        <v>977</v>
      </c>
      <c r="BS2" s="37" t="s">
        <v>978</v>
      </c>
      <c r="BT2" s="37" t="s">
        <v>979</v>
      </c>
      <c r="BU2" s="37" t="s">
        <v>980</v>
      </c>
      <c r="BV2" s="37" t="s">
        <v>981</v>
      </c>
      <c r="BW2" s="37" t="s">
        <v>982</v>
      </c>
      <c r="BX2" s="37" t="s">
        <v>983</v>
      </c>
      <c r="BY2" s="37" t="s">
        <v>984</v>
      </c>
      <c r="BZ2" s="37" t="s">
        <v>985</v>
      </c>
      <c r="CA2" s="37" t="s">
        <v>986</v>
      </c>
      <c r="CB2" s="37" t="s">
        <v>987</v>
      </c>
      <c r="CC2" s="37" t="s">
        <v>988</v>
      </c>
      <c r="CD2" s="37" t="s">
        <v>989</v>
      </c>
      <c r="CE2" s="37" t="s">
        <v>990</v>
      </c>
      <c r="CF2" s="37" t="s">
        <v>991</v>
      </c>
      <c r="CG2" s="37" t="s">
        <v>992</v>
      </c>
      <c r="CH2" s="37" t="s">
        <v>993</v>
      </c>
      <c r="CI2" s="37" t="s">
        <v>994</v>
      </c>
      <c r="CJ2" s="37" t="s">
        <v>995</v>
      </c>
      <c r="CK2" s="37" t="s">
        <v>996</v>
      </c>
      <c r="CL2" s="37" t="s">
        <v>997</v>
      </c>
      <c r="CM2" s="37" t="s">
        <v>998</v>
      </c>
      <c r="CN2" s="37" t="s">
        <v>999</v>
      </c>
      <c r="CO2" s="58" t="s">
        <v>1000</v>
      </c>
      <c r="CP2" s="37" t="s">
        <v>1001</v>
      </c>
      <c r="CQ2" s="37" t="s">
        <v>1002</v>
      </c>
      <c r="CR2" s="37" t="s">
        <v>1003</v>
      </c>
      <c r="CS2" s="37" t="s">
        <v>1004</v>
      </c>
      <c r="CT2" s="37" t="s">
        <v>1005</v>
      </c>
      <c r="CU2" s="37" t="s">
        <v>1006</v>
      </c>
      <c r="CV2" s="37" t="s">
        <v>1007</v>
      </c>
      <c r="CW2" s="37" t="s">
        <v>1008</v>
      </c>
      <c r="CX2" s="37" t="s">
        <v>1009</v>
      </c>
      <c r="CY2" s="37" t="s">
        <v>1010</v>
      </c>
      <c r="CZ2" s="37" t="s">
        <v>1011</v>
      </c>
      <c r="DA2" s="37" t="s">
        <v>1012</v>
      </c>
      <c r="DB2" s="37" t="s">
        <v>1013</v>
      </c>
      <c r="DC2" s="37" t="s">
        <v>1014</v>
      </c>
      <c r="DD2" s="37" t="s">
        <v>1015</v>
      </c>
      <c r="DE2" s="37" t="s">
        <v>1016</v>
      </c>
      <c r="DF2" s="102" t="s">
        <v>1017</v>
      </c>
      <c r="DG2" s="37" t="s">
        <v>1018</v>
      </c>
      <c r="DH2" s="37" t="s">
        <v>1019</v>
      </c>
      <c r="DI2" s="37" t="s">
        <v>1020</v>
      </c>
      <c r="DJ2" s="37" t="s">
        <v>1021</v>
      </c>
      <c r="DK2" s="37" t="s">
        <v>1022</v>
      </c>
      <c r="DL2" s="37" t="s">
        <v>1023</v>
      </c>
      <c r="DN2" s="37" t="s">
        <v>1024</v>
      </c>
      <c r="DO2" s="37" t="s">
        <v>1023</v>
      </c>
    </row>
    <row r="3" spans="1:136" s="48" customFormat="1" x14ac:dyDescent="0.25">
      <c r="D3" s="146"/>
      <c r="E3" s="146"/>
      <c r="F3" s="146"/>
      <c r="G3" s="146"/>
      <c r="H3" s="146"/>
      <c r="I3" s="146"/>
      <c r="J3" s="146"/>
      <c r="K3" s="146"/>
      <c r="L3" s="146"/>
      <c r="M3" s="146"/>
      <c r="S3" s="146"/>
      <c r="U3" s="146"/>
      <c r="Y3" s="148"/>
      <c r="AF3" s="146"/>
      <c r="AG3" s="146"/>
      <c r="AH3" s="146"/>
      <c r="CO3" s="135"/>
    </row>
    <row r="4" spans="1:136" s="48" customFormat="1" x14ac:dyDescent="0.25">
      <c r="CO4" s="135"/>
    </row>
    <row r="5" spans="1:136" s="48" customFormat="1" ht="26.25" x14ac:dyDescent="0.4">
      <c r="CO5" s="135"/>
      <c r="DN5" s="136" t="s">
        <v>841</v>
      </c>
    </row>
    <row r="6" spans="1:136" ht="15.75" customHeight="1" x14ac:dyDescent="0.25">
      <c r="A6" s="37">
        <v>1</v>
      </c>
      <c r="C6" s="37">
        <v>6363</v>
      </c>
      <c r="D6" s="102" t="s">
        <v>465</v>
      </c>
      <c r="E6" s="58" t="s">
        <v>108</v>
      </c>
      <c r="F6" s="102" t="s">
        <v>464</v>
      </c>
      <c r="G6" s="102" t="s">
        <v>411</v>
      </c>
      <c r="H6" s="102">
        <v>92526</v>
      </c>
      <c r="I6" s="37" t="s">
        <v>114</v>
      </c>
      <c r="J6" s="102" t="s">
        <v>463</v>
      </c>
      <c r="K6" s="102" t="s">
        <v>462</v>
      </c>
      <c r="L6" s="102" t="s">
        <v>461</v>
      </c>
      <c r="M6" s="102" t="s">
        <v>460</v>
      </c>
      <c r="N6" s="132" t="e">
        <v>#N/A</v>
      </c>
      <c r="O6" s="102" t="s">
        <v>1262</v>
      </c>
      <c r="P6" s="132" t="e">
        <v>#N/A</v>
      </c>
      <c r="Q6" s="102" t="s">
        <v>1263</v>
      </c>
      <c r="R6" s="37" t="s">
        <v>121</v>
      </c>
      <c r="S6" s="39" t="e">
        <v>#N/A</v>
      </c>
      <c r="T6" s="39" t="e">
        <v>#N/A</v>
      </c>
      <c r="U6" s="41" t="s">
        <v>132</v>
      </c>
      <c r="V6" s="39" t="e">
        <v>#N/A</v>
      </c>
      <c r="W6" s="39" t="e">
        <v>#N/A</v>
      </c>
      <c r="X6" s="39" t="e">
        <v>#N/A</v>
      </c>
      <c r="Y6" s="37" t="s">
        <v>459</v>
      </c>
      <c r="Z6" s="37" t="s">
        <v>148</v>
      </c>
      <c r="AA6" s="37" t="s">
        <v>157</v>
      </c>
      <c r="AB6" s="132" t="e">
        <v>#N/A</v>
      </c>
      <c r="AC6" s="132" t="e">
        <v>#N/A</v>
      </c>
      <c r="AD6" s="102" t="e">
        <v>#N/A</v>
      </c>
      <c r="AE6" s="102" t="e">
        <v>#N/A</v>
      </c>
      <c r="AF6" s="102" t="e">
        <v>#N/A</v>
      </c>
      <c r="AG6" s="102" t="e">
        <v>#N/A</v>
      </c>
      <c r="AH6" s="41" t="s">
        <v>162</v>
      </c>
      <c r="AI6" s="37" t="s">
        <v>177</v>
      </c>
      <c r="AJ6" s="37" t="s">
        <v>182</v>
      </c>
      <c r="AK6" s="39" t="e">
        <v>#N/A</v>
      </c>
      <c r="AL6" s="103" t="s">
        <v>187</v>
      </c>
      <c r="AM6" s="39" t="e">
        <v>#N/A</v>
      </c>
      <c r="AN6" s="37" t="b">
        <v>0</v>
      </c>
      <c r="AO6" s="37" t="b">
        <v>0</v>
      </c>
      <c r="AP6" s="37" t="b">
        <v>0</v>
      </c>
      <c r="AQ6" s="37" t="b">
        <v>0</v>
      </c>
      <c r="AR6" s="37" t="b">
        <v>0</v>
      </c>
      <c r="AS6" s="37" t="b">
        <v>0</v>
      </c>
      <c r="AT6" s="37" t="b">
        <v>1</v>
      </c>
      <c r="AU6" s="37" t="b">
        <v>1</v>
      </c>
      <c r="AV6" s="37" t="b">
        <v>0</v>
      </c>
      <c r="AW6" s="37" t="b">
        <v>1</v>
      </c>
      <c r="AX6" s="37" t="s">
        <v>195</v>
      </c>
      <c r="AY6" s="37" t="s">
        <v>196</v>
      </c>
      <c r="AZ6" s="37" t="s">
        <v>199</v>
      </c>
      <c r="BA6" s="37" t="s">
        <v>199</v>
      </c>
      <c r="BB6" s="37" t="s">
        <v>199</v>
      </c>
      <c r="BC6" s="37" t="s">
        <v>199</v>
      </c>
      <c r="BD6" s="37" t="s">
        <v>200</v>
      </c>
      <c r="BE6" s="37" t="s">
        <v>201</v>
      </c>
      <c r="BF6" s="37" t="e">
        <v>#N/A</v>
      </c>
      <c r="BG6" s="37" t="e">
        <v>#N/A</v>
      </c>
      <c r="BH6" s="37" t="s">
        <v>33</v>
      </c>
      <c r="BI6" s="37" t="s">
        <v>202</v>
      </c>
      <c r="BJ6" s="37">
        <v>6000</v>
      </c>
      <c r="BK6" s="37" t="e">
        <v>#N/A</v>
      </c>
      <c r="BL6" s="37" t="s">
        <v>33</v>
      </c>
      <c r="BM6" s="37" t="e">
        <v>#N/A</v>
      </c>
      <c r="BN6" s="37" t="e">
        <v>#N/A</v>
      </c>
      <c r="BO6" s="37" t="e">
        <v>#N/A</v>
      </c>
      <c r="BP6" s="37" t="e">
        <v>#N/A</v>
      </c>
      <c r="BQ6" s="37" t="s">
        <v>209</v>
      </c>
      <c r="BR6" s="37" t="s">
        <v>104</v>
      </c>
      <c r="BS6" s="37" t="s">
        <v>209</v>
      </c>
      <c r="BT6" s="37" t="s">
        <v>33</v>
      </c>
      <c r="BU6" s="37" t="b">
        <v>0</v>
      </c>
      <c r="BV6" s="37" t="b">
        <v>0</v>
      </c>
      <c r="BW6" s="37" t="b">
        <v>0</v>
      </c>
      <c r="BX6" s="37" t="b">
        <v>0</v>
      </c>
      <c r="BY6" s="37" t="b">
        <v>0</v>
      </c>
      <c r="BZ6" s="37" t="b">
        <v>0</v>
      </c>
      <c r="CA6" s="37" t="b">
        <v>0</v>
      </c>
      <c r="CB6" s="37" t="b">
        <v>0</v>
      </c>
      <c r="CC6" s="37" t="b">
        <v>1</v>
      </c>
      <c r="CD6" s="39" t="e">
        <v>#N/A</v>
      </c>
      <c r="CE6" s="37" t="b">
        <v>0</v>
      </c>
      <c r="CF6" s="37" t="b">
        <v>0</v>
      </c>
      <c r="CG6" s="37" t="b">
        <v>0</v>
      </c>
      <c r="CH6" s="37" t="b">
        <v>0</v>
      </c>
      <c r="CI6" s="37" t="b">
        <v>0</v>
      </c>
      <c r="CJ6" s="37" t="b">
        <v>0</v>
      </c>
      <c r="CK6" s="37" t="b">
        <v>0</v>
      </c>
      <c r="CL6" s="37" t="b">
        <v>0</v>
      </c>
      <c r="CM6" s="37" t="b">
        <v>0</v>
      </c>
      <c r="CN6" s="37" t="s">
        <v>39</v>
      </c>
      <c r="CO6" s="57" t="e">
        <v>#N/A</v>
      </c>
      <c r="CP6" s="39" t="e">
        <v>#N/A</v>
      </c>
      <c r="CQ6" s="39" t="e">
        <v>#N/A</v>
      </c>
      <c r="CR6" s="37" t="s">
        <v>104</v>
      </c>
      <c r="CS6" s="37" t="e">
        <v>#N/A</v>
      </c>
      <c r="CT6" s="37" t="e">
        <v>#N/A</v>
      </c>
      <c r="CU6" s="37" t="e">
        <v>#N/A</v>
      </c>
      <c r="CV6" s="37" t="e">
        <v>#N/A</v>
      </c>
      <c r="CW6" s="37" t="e">
        <v>#N/A</v>
      </c>
      <c r="CX6" s="37" t="b">
        <v>0</v>
      </c>
      <c r="CY6" s="37" t="b">
        <v>0</v>
      </c>
      <c r="CZ6" s="37" t="b">
        <v>0</v>
      </c>
      <c r="DA6" s="37" t="b">
        <v>0</v>
      </c>
      <c r="DB6" s="37" t="b">
        <v>0</v>
      </c>
      <c r="DC6" s="37" t="b">
        <v>0</v>
      </c>
      <c r="DD6" s="37" t="b">
        <v>0</v>
      </c>
      <c r="DE6" s="37" t="b">
        <v>0</v>
      </c>
      <c r="DF6" s="102" t="s">
        <v>1264</v>
      </c>
      <c r="DG6" s="37" t="s">
        <v>458</v>
      </c>
      <c r="DH6" s="37">
        <v>40668</v>
      </c>
      <c r="DI6" s="37" t="e">
        <v>#N/A</v>
      </c>
      <c r="DJ6" s="37" t="e">
        <v>#N/A</v>
      </c>
      <c r="DK6" s="37">
        <v>40689</v>
      </c>
      <c r="DL6" s="39" t="s">
        <v>266</v>
      </c>
      <c r="DM6" s="39" t="b">
        <f>OR(CE6=TRUE,CF6=TRUE,CG6=TRUE,CH6=TRUE,CI6=TRUE,CJ6=TRUE,CK6=TRUE,CL6=TRUE,CM6=TRUE)</f>
        <v>0</v>
      </c>
      <c r="DN6" s="38" t="str">
        <f>IFERROR(C6,"XXXX")&amp;"_"&amp;IFERROR(MID(R6,1,4),"XXXX")&amp;"_"&amp;IFERROR(RIGHT(U6,4),"XXXX")&amp;"_"&amp;IFERROR(RIGHT(AH6,5),"XXXXX")&amp;"_"&amp;IFERROR(MID(AI6,1,3),"XXX")&amp;"_"&amp;IFERROR(MID(AJ6,1,3),"XXX")&amp;"_"&amp;IFERROR(MID(AL6,1,2),"XX")&amp;"_"&amp;MID(DM6,1,1)</f>
        <v>6363_Groß_Z 46_andel_5 M_50 _bi_F</v>
      </c>
    </row>
    <row r="7" spans="1:136" ht="15.75" customHeight="1" x14ac:dyDescent="0.25">
      <c r="A7" s="37">
        <v>2</v>
      </c>
      <c r="C7" s="37">
        <v>1590</v>
      </c>
      <c r="D7" s="102" t="s">
        <v>788</v>
      </c>
      <c r="E7" s="58" t="s">
        <v>110</v>
      </c>
      <c r="F7" s="102" t="s">
        <v>787</v>
      </c>
      <c r="G7" s="102" t="s">
        <v>571</v>
      </c>
      <c r="H7" s="102">
        <v>95679</v>
      </c>
      <c r="I7" s="37" t="s">
        <v>114</v>
      </c>
      <c r="J7" s="102" t="s">
        <v>786</v>
      </c>
      <c r="K7" s="102" t="s">
        <v>785</v>
      </c>
      <c r="L7" s="102" t="e">
        <v>#N/A</v>
      </c>
      <c r="M7" s="102" t="s">
        <v>784</v>
      </c>
      <c r="N7" s="102" t="s">
        <v>1265</v>
      </c>
      <c r="O7" s="102" t="s">
        <v>1266</v>
      </c>
      <c r="P7" s="102" t="s">
        <v>1267</v>
      </c>
      <c r="Q7" s="132" t="e">
        <v>#N/A</v>
      </c>
      <c r="R7" s="37" t="s">
        <v>118</v>
      </c>
      <c r="S7" s="39" t="e">
        <v>#N/A</v>
      </c>
      <c r="T7" s="39" t="e">
        <v>#N/A</v>
      </c>
      <c r="U7" s="41" t="s">
        <v>128</v>
      </c>
      <c r="V7" s="39" t="e">
        <v>#N/A</v>
      </c>
      <c r="W7" s="39" t="e">
        <v>#N/A</v>
      </c>
      <c r="X7" s="39" t="e">
        <v>#N/A</v>
      </c>
      <c r="Y7" s="37" t="s">
        <v>783</v>
      </c>
      <c r="Z7" s="37" t="s">
        <v>148</v>
      </c>
      <c r="AA7" s="37" t="s">
        <v>157</v>
      </c>
      <c r="AB7" s="132" t="e">
        <v>#N/A</v>
      </c>
      <c r="AC7" s="102" t="s">
        <v>158</v>
      </c>
      <c r="AD7" s="102" t="s">
        <v>1268</v>
      </c>
      <c r="AE7" s="102" t="s">
        <v>159</v>
      </c>
      <c r="AF7" s="102" t="s">
        <v>1269</v>
      </c>
      <c r="AG7" s="102" t="s">
        <v>1270</v>
      </c>
      <c r="AH7" s="41" t="s">
        <v>161</v>
      </c>
      <c r="AI7" s="37" t="s">
        <v>177</v>
      </c>
      <c r="AJ7" s="37" t="s">
        <v>182</v>
      </c>
      <c r="AK7" s="39" t="e">
        <v>#N/A</v>
      </c>
      <c r="AL7" s="37" t="s">
        <v>187</v>
      </c>
      <c r="AM7" s="39" t="e">
        <v>#N/A</v>
      </c>
      <c r="AN7" s="37" t="b">
        <v>1</v>
      </c>
      <c r="AO7" s="37" t="b">
        <v>1</v>
      </c>
      <c r="AP7" s="37" t="b">
        <v>0</v>
      </c>
      <c r="AQ7" s="37" t="b">
        <v>0</v>
      </c>
      <c r="AR7" s="37" t="b">
        <v>0</v>
      </c>
      <c r="AS7" s="37" t="b">
        <v>1</v>
      </c>
      <c r="AT7" s="37" t="b">
        <v>0</v>
      </c>
      <c r="AU7" s="37" t="b">
        <v>0</v>
      </c>
      <c r="AV7" s="37" t="b">
        <v>0</v>
      </c>
      <c r="AW7" s="37" t="b">
        <v>0</v>
      </c>
      <c r="AX7" s="103" t="s">
        <v>193</v>
      </c>
      <c r="AY7" s="37" t="s">
        <v>196</v>
      </c>
      <c r="AZ7" s="37" t="s">
        <v>199</v>
      </c>
      <c r="BA7" s="37" t="e">
        <v>#N/A</v>
      </c>
      <c r="BB7" s="37" t="e">
        <v>#N/A</v>
      </c>
      <c r="BC7" s="37" t="s">
        <v>196</v>
      </c>
      <c r="BD7" s="37" t="e">
        <v>#N/A</v>
      </c>
      <c r="BE7" s="37" t="s">
        <v>202</v>
      </c>
      <c r="BF7" s="37" t="e">
        <v>#N/A</v>
      </c>
      <c r="BG7" s="37" t="e">
        <v>#N/A</v>
      </c>
      <c r="BH7" s="37" t="e">
        <v>#N/A</v>
      </c>
      <c r="BI7" s="37" t="s">
        <v>205</v>
      </c>
      <c r="BJ7" s="37" t="e">
        <v>#N/A</v>
      </c>
      <c r="BK7" s="37" t="e">
        <v>#N/A</v>
      </c>
      <c r="BL7" s="37" t="e">
        <v>#N/A</v>
      </c>
      <c r="BM7" s="37" t="s">
        <v>206</v>
      </c>
      <c r="BN7" s="37" t="e">
        <v>#N/A</v>
      </c>
      <c r="BO7" s="37" t="e">
        <v>#N/A</v>
      </c>
      <c r="BP7" s="37" t="e">
        <v>#N/A</v>
      </c>
      <c r="BQ7" s="37" t="s">
        <v>209</v>
      </c>
      <c r="BR7" s="37" t="s">
        <v>104</v>
      </c>
      <c r="BS7" s="37" t="s">
        <v>209</v>
      </c>
      <c r="BT7" s="37" t="s">
        <v>33</v>
      </c>
      <c r="BU7" s="37" t="b">
        <v>0</v>
      </c>
      <c r="BV7" s="37" t="b">
        <v>0</v>
      </c>
      <c r="BW7" s="37" t="b">
        <v>0</v>
      </c>
      <c r="BX7" s="37" t="b">
        <v>0</v>
      </c>
      <c r="BY7" s="37" t="b">
        <v>0</v>
      </c>
      <c r="BZ7" s="37" t="b">
        <v>0</v>
      </c>
      <c r="CA7" s="37" t="b">
        <v>0</v>
      </c>
      <c r="CB7" s="37" t="b">
        <v>0</v>
      </c>
      <c r="CC7" s="37" t="b">
        <v>1</v>
      </c>
      <c r="CD7" s="37" t="s">
        <v>782</v>
      </c>
      <c r="CE7" s="37" t="b">
        <v>1</v>
      </c>
      <c r="CF7" s="37" t="b">
        <v>1</v>
      </c>
      <c r="CG7" s="37" t="b">
        <v>0</v>
      </c>
      <c r="CH7" s="37" t="b">
        <v>0</v>
      </c>
      <c r="CI7" s="37" t="b">
        <v>1</v>
      </c>
      <c r="CJ7" s="37" t="b">
        <v>1</v>
      </c>
      <c r="CK7" s="37" t="b">
        <v>0</v>
      </c>
      <c r="CL7" s="37" t="b">
        <v>0</v>
      </c>
      <c r="CM7" s="37" t="b">
        <v>0</v>
      </c>
      <c r="CN7" s="37" t="e">
        <v>#N/A</v>
      </c>
      <c r="CO7" s="58" t="s">
        <v>212</v>
      </c>
      <c r="CP7" s="37" t="s">
        <v>781</v>
      </c>
      <c r="CQ7" s="39" t="e">
        <v>#N/A</v>
      </c>
      <c r="CR7" s="37" t="s">
        <v>215</v>
      </c>
      <c r="CS7" s="37" t="e">
        <v>#N/A</v>
      </c>
      <c r="CT7" s="37" t="e">
        <v>#N/A</v>
      </c>
      <c r="CU7" s="37" t="e">
        <v>#N/A</v>
      </c>
      <c r="CV7" s="37" t="e">
        <v>#N/A</v>
      </c>
      <c r="CW7" s="37" t="s">
        <v>39</v>
      </c>
      <c r="CX7" s="37" t="b">
        <v>1</v>
      </c>
      <c r="CY7" s="37" t="b">
        <v>1</v>
      </c>
      <c r="CZ7" s="37" t="b">
        <v>0</v>
      </c>
      <c r="DA7" s="37" t="b">
        <v>0</v>
      </c>
      <c r="DB7" s="37" t="b">
        <v>0</v>
      </c>
      <c r="DC7" s="37" t="b">
        <v>0</v>
      </c>
      <c r="DD7" s="37" t="b">
        <v>0</v>
      </c>
      <c r="DE7" s="37" t="b">
        <v>0</v>
      </c>
      <c r="DF7" s="102" t="s">
        <v>1271</v>
      </c>
      <c r="DG7" s="37" t="s">
        <v>564</v>
      </c>
      <c r="DH7" s="37">
        <v>40682</v>
      </c>
      <c r="DI7" s="37">
        <v>40682</v>
      </c>
      <c r="DJ7" s="37">
        <v>40674</v>
      </c>
      <c r="DK7" s="37">
        <v>40682</v>
      </c>
      <c r="DL7" s="37" t="s">
        <v>348</v>
      </c>
      <c r="DM7" s="39" t="b">
        <f t="shared" ref="DM7:DM70" si="0">OR(CE7=TRUE,CF7=TRUE,CG7=TRUE,CH7=TRUE,CI7=TRUE,CJ7=TRUE,CK7=TRUE,CL7=TRUE,CM7=TRUE)</f>
        <v>1</v>
      </c>
      <c r="DN7" s="38" t="str">
        <f t="shared" ref="DN7:DN70" si="1">IFERROR(C7,"XXXX")&amp;"_"&amp;IFERROR(MID(R7,1,4),"XXXX")&amp;"_"&amp;IFERROR(RIGHT(U7,4),"XXXX")&amp;"_"&amp;IFERROR(RIGHT(AH7,5),"XXXXX")&amp;"_"&amp;IFERROR(MID(AI7,1,3),"XXX")&amp;"_"&amp;IFERROR(MID(AJ7,1,3),"XXX")&amp;"_"&amp;IFERROR(MID(AL7,1,2),"XX")&amp;"_"&amp;MID(DM7,1,1)</f>
        <v>1590_Indu_Z 25_ktion_5 M_50 _bi_W</v>
      </c>
      <c r="DQ7" s="103" t="s">
        <v>1625</v>
      </c>
    </row>
    <row r="8" spans="1:136" x14ac:dyDescent="0.25">
      <c r="A8" s="37">
        <v>3</v>
      </c>
      <c r="C8" s="37">
        <v>9553</v>
      </c>
      <c r="D8" s="132" t="s">
        <v>275</v>
      </c>
      <c r="E8" s="57" t="s">
        <v>109</v>
      </c>
      <c r="F8" s="132" t="s">
        <v>274</v>
      </c>
      <c r="G8" s="132" t="s">
        <v>273</v>
      </c>
      <c r="H8" s="132">
        <v>91281</v>
      </c>
      <c r="I8" s="39" t="s">
        <v>114</v>
      </c>
      <c r="J8" s="132" t="s">
        <v>272</v>
      </c>
      <c r="K8" s="132" t="s">
        <v>271</v>
      </c>
      <c r="L8" s="132" t="s">
        <v>270</v>
      </c>
      <c r="M8" s="132" t="s">
        <v>269</v>
      </c>
      <c r="N8" s="132" t="s">
        <v>1272</v>
      </c>
      <c r="O8" s="132" t="s">
        <v>1273</v>
      </c>
      <c r="P8" s="132" t="s">
        <v>1274</v>
      </c>
      <c r="Q8" s="132" t="s">
        <v>1275</v>
      </c>
      <c r="R8" s="39" t="s">
        <v>121</v>
      </c>
      <c r="S8" s="39" t="s">
        <v>122</v>
      </c>
      <c r="T8" s="39" t="s">
        <v>123</v>
      </c>
      <c r="U8" s="40" t="s">
        <v>131</v>
      </c>
      <c r="V8" s="39" t="s">
        <v>132</v>
      </c>
      <c r="W8" s="39" t="s">
        <v>133</v>
      </c>
      <c r="X8" s="39" t="e">
        <v>#N/A</v>
      </c>
      <c r="Y8" s="39" t="s">
        <v>268</v>
      </c>
      <c r="Z8" s="39" t="s">
        <v>148</v>
      </c>
      <c r="AA8" s="39" t="s">
        <v>157</v>
      </c>
      <c r="AB8" s="132" t="e">
        <v>#N/A</v>
      </c>
      <c r="AC8" s="132" t="e">
        <v>#N/A</v>
      </c>
      <c r="AD8" s="102" t="e">
        <v>#N/A</v>
      </c>
      <c r="AE8" s="102" t="e">
        <v>#N/A</v>
      </c>
      <c r="AF8" s="102" t="e">
        <v>#N/A</v>
      </c>
      <c r="AG8" s="102" t="e">
        <v>#N/A</v>
      </c>
      <c r="AH8" s="41" t="s">
        <v>162</v>
      </c>
      <c r="AI8" s="39" t="e">
        <v>#N/A</v>
      </c>
      <c r="AJ8" s="39" t="s">
        <v>182</v>
      </c>
      <c r="AK8" s="39" t="e">
        <v>#N/A</v>
      </c>
      <c r="AL8" s="39" t="s">
        <v>190</v>
      </c>
      <c r="AM8" s="39" t="e">
        <v>#N/A</v>
      </c>
      <c r="AN8" s="39" t="b">
        <v>0</v>
      </c>
      <c r="AO8" s="39" t="b">
        <v>0</v>
      </c>
      <c r="AP8" s="39" t="b">
        <v>0</v>
      </c>
      <c r="AQ8" s="39" t="b">
        <v>0</v>
      </c>
      <c r="AR8" s="39" t="b">
        <v>0</v>
      </c>
      <c r="AS8" s="39" t="b">
        <v>0</v>
      </c>
      <c r="AT8" s="39" t="b">
        <v>1</v>
      </c>
      <c r="AU8" s="39" t="b">
        <v>1</v>
      </c>
      <c r="AV8" s="39" t="b">
        <v>0</v>
      </c>
      <c r="AW8" s="39" t="b">
        <v>0</v>
      </c>
      <c r="AX8" s="39" t="s">
        <v>33</v>
      </c>
      <c r="AY8" s="39" t="s">
        <v>199</v>
      </c>
      <c r="AZ8" s="39" t="s">
        <v>199</v>
      </c>
      <c r="BA8" s="39" t="s">
        <v>198</v>
      </c>
      <c r="BB8" s="39" t="s">
        <v>198</v>
      </c>
      <c r="BC8" s="39" t="s">
        <v>198</v>
      </c>
      <c r="BD8" s="39" t="s">
        <v>199</v>
      </c>
      <c r="BE8" s="39" t="s">
        <v>202</v>
      </c>
      <c r="BF8" s="37" t="e">
        <v>#N/A</v>
      </c>
      <c r="BG8" s="37" t="e">
        <v>#N/A</v>
      </c>
      <c r="BH8" s="37" t="e">
        <v>#N/A</v>
      </c>
      <c r="BI8" s="39" t="s">
        <v>205</v>
      </c>
      <c r="BJ8" s="37" t="e">
        <v>#N/A</v>
      </c>
      <c r="BK8" s="37" t="e">
        <v>#N/A</v>
      </c>
      <c r="BL8" s="37" t="e">
        <v>#N/A</v>
      </c>
      <c r="BM8" s="39" t="s">
        <v>206</v>
      </c>
      <c r="BN8" s="37" t="e">
        <v>#N/A</v>
      </c>
      <c r="BO8" s="37" t="e">
        <v>#N/A</v>
      </c>
      <c r="BP8" s="37" t="e">
        <v>#N/A</v>
      </c>
      <c r="BQ8" s="39" t="s">
        <v>209</v>
      </c>
      <c r="BR8" s="39" t="s">
        <v>104</v>
      </c>
      <c r="BS8" s="39" t="s">
        <v>208</v>
      </c>
      <c r="BT8" s="39" t="s">
        <v>33</v>
      </c>
      <c r="BU8" s="39" t="b">
        <v>0</v>
      </c>
      <c r="BV8" s="39" t="b">
        <v>0</v>
      </c>
      <c r="BW8" s="39" t="b">
        <v>0</v>
      </c>
      <c r="BX8" s="39" t="b">
        <v>0</v>
      </c>
      <c r="BY8" s="39" t="b">
        <v>0</v>
      </c>
      <c r="BZ8" s="39" t="b">
        <v>0</v>
      </c>
      <c r="CA8" s="39" t="b">
        <v>0</v>
      </c>
      <c r="CB8" s="39" t="b">
        <v>0</v>
      </c>
      <c r="CC8" s="39" t="b">
        <v>0</v>
      </c>
      <c r="CD8" s="39" t="e">
        <v>#N/A</v>
      </c>
      <c r="CE8" s="39" t="b">
        <v>0</v>
      </c>
      <c r="CF8" s="39" t="b">
        <v>0</v>
      </c>
      <c r="CG8" s="39" t="b">
        <v>0</v>
      </c>
      <c r="CH8" s="39" t="b">
        <v>0</v>
      </c>
      <c r="CI8" s="39" t="b">
        <v>0</v>
      </c>
      <c r="CJ8" s="39" t="b">
        <v>0</v>
      </c>
      <c r="CK8" s="39" t="b">
        <v>0</v>
      </c>
      <c r="CL8" s="39" t="b">
        <v>0</v>
      </c>
      <c r="CM8" s="39" t="b">
        <v>0</v>
      </c>
      <c r="CN8" s="39" t="s">
        <v>33</v>
      </c>
      <c r="CO8" s="57" t="e">
        <v>#N/A</v>
      </c>
      <c r="CP8" s="39" t="e">
        <v>#N/A</v>
      </c>
      <c r="CQ8" s="39" t="e">
        <v>#N/A</v>
      </c>
      <c r="CR8" s="37" t="e">
        <v>#N/A</v>
      </c>
      <c r="CS8" s="39" t="s">
        <v>212</v>
      </c>
      <c r="CT8" s="37" t="e">
        <v>#N/A</v>
      </c>
      <c r="CU8" s="37" t="e">
        <v>#N/A</v>
      </c>
      <c r="CV8" s="37" t="e">
        <v>#N/A</v>
      </c>
      <c r="CW8" s="39" t="s">
        <v>217</v>
      </c>
      <c r="CX8" s="39" t="b">
        <v>0</v>
      </c>
      <c r="CY8" s="39" t="b">
        <v>0</v>
      </c>
      <c r="CZ8" s="39" t="b">
        <v>0</v>
      </c>
      <c r="DA8" s="39" t="b">
        <v>0</v>
      </c>
      <c r="DB8" s="39" t="b">
        <v>0</v>
      </c>
      <c r="DC8" s="39" t="b">
        <v>0</v>
      </c>
      <c r="DD8" s="39" t="b">
        <v>0</v>
      </c>
      <c r="DE8" s="39" t="b">
        <v>0</v>
      </c>
      <c r="DF8" s="132" t="s">
        <v>1276</v>
      </c>
      <c r="DG8" s="39" t="s">
        <v>267</v>
      </c>
      <c r="DH8" s="39">
        <v>40689</v>
      </c>
      <c r="DI8" s="39">
        <v>40712</v>
      </c>
      <c r="DJ8" s="39">
        <v>40711</v>
      </c>
      <c r="DK8" s="39">
        <v>40712</v>
      </c>
      <c r="DL8" s="39" t="s">
        <v>266</v>
      </c>
      <c r="DM8" s="39" t="b">
        <f t="shared" si="0"/>
        <v>0</v>
      </c>
      <c r="DN8" s="38" t="str">
        <f t="shared" si="1"/>
        <v>9553_Groß_5320_andel_XXX_50 _30_F</v>
      </c>
      <c r="DQ8" s="103" t="s">
        <v>1626</v>
      </c>
    </row>
    <row r="9" spans="1:136" ht="15.75" customHeight="1" x14ac:dyDescent="0.25">
      <c r="A9" s="37">
        <v>4</v>
      </c>
      <c r="C9" s="37">
        <v>8289</v>
      </c>
      <c r="D9" s="132" t="s">
        <v>383</v>
      </c>
      <c r="E9" s="57" t="s">
        <v>112</v>
      </c>
      <c r="F9" s="132" t="s">
        <v>382</v>
      </c>
      <c r="G9" s="132" t="s">
        <v>263</v>
      </c>
      <c r="H9" s="132">
        <v>92637</v>
      </c>
      <c r="I9" s="39" t="s">
        <v>114</v>
      </c>
      <c r="J9" s="132" t="s">
        <v>381</v>
      </c>
      <c r="K9" s="132" t="s">
        <v>380</v>
      </c>
      <c r="L9" s="132" t="s">
        <v>379</v>
      </c>
      <c r="M9" s="132" t="s">
        <v>378</v>
      </c>
      <c r="N9" s="132" t="s">
        <v>1277</v>
      </c>
      <c r="O9" s="132" t="s">
        <v>1278</v>
      </c>
      <c r="P9" s="132" t="s">
        <v>1279</v>
      </c>
      <c r="Q9" s="132" t="s">
        <v>1280</v>
      </c>
      <c r="R9" s="37" t="e">
        <v>#N/A</v>
      </c>
      <c r="S9" s="39" t="s">
        <v>121</v>
      </c>
      <c r="T9" s="39" t="e">
        <v>#N/A</v>
      </c>
      <c r="U9" s="40" t="s">
        <v>132</v>
      </c>
      <c r="V9" s="39" t="e">
        <v>#N/A</v>
      </c>
      <c r="W9" s="39" t="e">
        <v>#N/A</v>
      </c>
      <c r="X9" s="39" t="e">
        <v>#N/A</v>
      </c>
      <c r="Y9" s="39" t="s">
        <v>377</v>
      </c>
      <c r="Z9" s="39" t="s">
        <v>149</v>
      </c>
      <c r="AA9" s="39" t="s">
        <v>157</v>
      </c>
      <c r="AB9" s="132" t="e">
        <v>#N/A</v>
      </c>
      <c r="AC9" s="132" t="e">
        <v>#N/A</v>
      </c>
      <c r="AD9" s="102" t="e">
        <v>#N/A</v>
      </c>
      <c r="AE9" s="102" t="e">
        <v>#N/A</v>
      </c>
      <c r="AF9" s="102" t="e">
        <v>#N/A</v>
      </c>
      <c r="AG9" s="102" t="e">
        <v>#N/A</v>
      </c>
      <c r="AH9" s="41" t="s">
        <v>162</v>
      </c>
      <c r="AI9" s="39" t="s">
        <v>177</v>
      </c>
      <c r="AJ9" s="39" t="e">
        <v>#N/A</v>
      </c>
      <c r="AK9" s="39">
        <v>54</v>
      </c>
      <c r="AL9" s="37" t="e">
        <v>#N/A</v>
      </c>
      <c r="AM9" s="39">
        <v>5</v>
      </c>
      <c r="AN9" s="39" t="b">
        <v>0</v>
      </c>
      <c r="AO9" s="39" t="b">
        <v>0</v>
      </c>
      <c r="AP9" s="39" t="b">
        <v>0</v>
      </c>
      <c r="AQ9" s="39" t="b">
        <v>0</v>
      </c>
      <c r="AR9" s="39" t="b">
        <v>0</v>
      </c>
      <c r="AS9" s="39" t="b">
        <v>0</v>
      </c>
      <c r="AT9" s="39" t="b">
        <v>1</v>
      </c>
      <c r="AU9" s="39" t="b">
        <v>0</v>
      </c>
      <c r="AV9" s="39" t="b">
        <v>0</v>
      </c>
      <c r="AW9" s="39" t="b">
        <v>0</v>
      </c>
      <c r="AX9" s="39" t="s">
        <v>195</v>
      </c>
      <c r="AY9" s="39" t="s">
        <v>200</v>
      </c>
      <c r="AZ9" s="39" t="s">
        <v>199</v>
      </c>
      <c r="BA9" s="39" t="s">
        <v>199</v>
      </c>
      <c r="BB9" s="39" t="s">
        <v>199</v>
      </c>
      <c r="BC9" s="39" t="s">
        <v>196</v>
      </c>
      <c r="BD9" s="39" t="s">
        <v>199</v>
      </c>
      <c r="BE9" s="39" t="s">
        <v>376</v>
      </c>
      <c r="BF9" s="37" t="e">
        <v>#N/A</v>
      </c>
      <c r="BG9" s="37" t="e">
        <v>#N/A</v>
      </c>
      <c r="BH9" s="39" t="s">
        <v>39</v>
      </c>
      <c r="BI9" s="39" t="e">
        <v>#N/A</v>
      </c>
      <c r="BJ9" s="37" t="e">
        <v>#N/A</v>
      </c>
      <c r="BK9" s="37" t="e">
        <v>#N/A</v>
      </c>
      <c r="BL9" s="37" t="e">
        <v>#N/A</v>
      </c>
      <c r="BM9" s="37" t="e">
        <v>#N/A</v>
      </c>
      <c r="BN9" s="37" t="e">
        <v>#N/A</v>
      </c>
      <c r="BO9" s="37" t="e">
        <v>#N/A</v>
      </c>
      <c r="BP9" s="37" t="e">
        <v>#N/A</v>
      </c>
      <c r="BQ9" s="39" t="s">
        <v>210</v>
      </c>
      <c r="BR9" s="39" t="s">
        <v>104</v>
      </c>
      <c r="BS9" s="39" t="s">
        <v>104</v>
      </c>
      <c r="BT9" s="39" t="s">
        <v>33</v>
      </c>
      <c r="BU9" s="39" t="b">
        <v>0</v>
      </c>
      <c r="BV9" s="39" t="b">
        <v>0</v>
      </c>
      <c r="BW9" s="39" t="b">
        <v>0</v>
      </c>
      <c r="BX9" s="39" t="b">
        <v>0</v>
      </c>
      <c r="BY9" s="39" t="b">
        <v>0</v>
      </c>
      <c r="BZ9" s="39" t="b">
        <v>0</v>
      </c>
      <c r="CA9" s="39" t="b">
        <v>0</v>
      </c>
      <c r="CB9" s="39" t="b">
        <v>0</v>
      </c>
      <c r="CC9" s="39" t="b">
        <v>1</v>
      </c>
      <c r="CD9" s="39" t="s">
        <v>375</v>
      </c>
      <c r="CE9" s="39" t="b">
        <v>0</v>
      </c>
      <c r="CF9" s="39" t="b">
        <v>0</v>
      </c>
      <c r="CG9" s="39" t="b">
        <v>0</v>
      </c>
      <c r="CH9" s="39" t="b">
        <v>0</v>
      </c>
      <c r="CI9" s="39" t="b">
        <v>0</v>
      </c>
      <c r="CJ9" s="39" t="b">
        <v>0</v>
      </c>
      <c r="CK9" s="39" t="b">
        <v>0</v>
      </c>
      <c r="CL9" s="39" t="b">
        <v>0</v>
      </c>
      <c r="CM9" s="39" t="b">
        <v>0</v>
      </c>
      <c r="CN9" s="39" t="s">
        <v>39</v>
      </c>
      <c r="CO9" s="57" t="e">
        <v>#N/A</v>
      </c>
      <c r="CP9" s="39" t="e">
        <v>#N/A</v>
      </c>
      <c r="CQ9" s="39" t="e">
        <v>#N/A</v>
      </c>
      <c r="CR9" s="37" t="e">
        <v>#N/A</v>
      </c>
      <c r="CS9" s="37" t="e">
        <v>#N/A</v>
      </c>
      <c r="CT9" s="37" t="e">
        <v>#N/A</v>
      </c>
      <c r="CU9" s="37" t="e">
        <v>#N/A</v>
      </c>
      <c r="CV9" s="37" t="e">
        <v>#N/A</v>
      </c>
      <c r="CW9" s="37" t="e">
        <v>#N/A</v>
      </c>
      <c r="CX9" s="39" t="b">
        <v>0</v>
      </c>
      <c r="CY9" s="39" t="b">
        <v>1</v>
      </c>
      <c r="CZ9" s="39" t="b">
        <v>1</v>
      </c>
      <c r="DA9" s="39" t="b">
        <v>0</v>
      </c>
      <c r="DB9" s="39" t="b">
        <v>1</v>
      </c>
      <c r="DC9" s="39" t="b">
        <v>1</v>
      </c>
      <c r="DD9" s="39" t="b">
        <v>1</v>
      </c>
      <c r="DE9" s="39" t="b">
        <v>1</v>
      </c>
      <c r="DF9" s="132" t="s">
        <v>1281</v>
      </c>
      <c r="DG9" s="39" t="s">
        <v>374</v>
      </c>
      <c r="DH9" s="39">
        <v>40672</v>
      </c>
      <c r="DI9" s="39" t="s">
        <v>373</v>
      </c>
      <c r="DJ9" s="39" t="s">
        <v>373</v>
      </c>
      <c r="DK9" s="39" t="s">
        <v>372</v>
      </c>
      <c r="DL9" s="39" t="s">
        <v>276</v>
      </c>
      <c r="DM9" s="39" t="b">
        <f t="shared" si="0"/>
        <v>0</v>
      </c>
      <c r="DN9" s="38" t="str">
        <f t="shared" si="1"/>
        <v>8289_XXXX_Z 46_andel_5 M_XXX_XX_F</v>
      </c>
    </row>
    <row r="10" spans="1:136" ht="15.75" customHeight="1" x14ac:dyDescent="0.25">
      <c r="A10" s="37">
        <v>5</v>
      </c>
      <c r="C10" s="37">
        <v>8727</v>
      </c>
      <c r="D10" s="102" t="s">
        <v>363</v>
      </c>
      <c r="E10" s="58" t="s">
        <v>109</v>
      </c>
      <c r="F10" s="102" t="s">
        <v>362</v>
      </c>
      <c r="G10" s="102" t="s">
        <v>361</v>
      </c>
      <c r="H10" s="102">
        <v>92693</v>
      </c>
      <c r="I10" s="37" t="s">
        <v>114</v>
      </c>
      <c r="J10" s="102">
        <v>965392900</v>
      </c>
      <c r="K10" s="102">
        <v>9653929042</v>
      </c>
      <c r="L10" s="102" t="s">
        <v>360</v>
      </c>
      <c r="M10" s="102" t="s">
        <v>359</v>
      </c>
      <c r="N10" s="102" t="s">
        <v>1282</v>
      </c>
      <c r="O10" s="102" t="s">
        <v>1283</v>
      </c>
      <c r="P10" s="102">
        <v>965392900</v>
      </c>
      <c r="Q10" s="102" t="s">
        <v>1284</v>
      </c>
      <c r="R10" s="37" t="s">
        <v>117</v>
      </c>
      <c r="S10" s="37" t="s">
        <v>118</v>
      </c>
      <c r="T10" s="39" t="e">
        <v>#N/A</v>
      </c>
      <c r="U10" s="41" t="s">
        <v>130</v>
      </c>
      <c r="V10" s="39" t="e">
        <v>#N/A</v>
      </c>
      <c r="W10" s="39" t="e">
        <v>#N/A</v>
      </c>
      <c r="X10" s="39" t="e">
        <v>#N/A</v>
      </c>
      <c r="Y10" s="37" t="s">
        <v>358</v>
      </c>
      <c r="Z10" s="37" t="s">
        <v>148</v>
      </c>
      <c r="AA10" s="37" t="s">
        <v>156</v>
      </c>
      <c r="AB10" s="132" t="e">
        <v>#N/A</v>
      </c>
      <c r="AC10" s="132" t="e">
        <v>#N/A</v>
      </c>
      <c r="AD10" s="102" t="e">
        <v>#N/A</v>
      </c>
      <c r="AE10" s="102" t="e">
        <v>#N/A</v>
      </c>
      <c r="AF10" s="102" t="e">
        <v>#N/A</v>
      </c>
      <c r="AG10" s="102" t="e">
        <v>#N/A</v>
      </c>
      <c r="AH10" s="41" t="s">
        <v>161</v>
      </c>
      <c r="AI10" s="37" t="s">
        <v>177</v>
      </c>
      <c r="AJ10" s="37" t="s">
        <v>183</v>
      </c>
      <c r="AK10" s="37">
        <v>120</v>
      </c>
      <c r="AL10" s="37" t="s">
        <v>187</v>
      </c>
      <c r="AM10" s="37">
        <v>5</v>
      </c>
      <c r="AN10" s="37" t="b">
        <v>0</v>
      </c>
      <c r="AO10" s="37" t="b">
        <v>0</v>
      </c>
      <c r="AP10" s="37" t="b">
        <v>0</v>
      </c>
      <c r="AQ10" s="37" t="b">
        <v>0</v>
      </c>
      <c r="AR10" s="37" t="b">
        <v>0</v>
      </c>
      <c r="AS10" s="37" t="b">
        <v>0</v>
      </c>
      <c r="AT10" s="37" t="b">
        <v>1</v>
      </c>
      <c r="AU10" s="37" t="b">
        <v>1</v>
      </c>
      <c r="AV10" s="37" t="b">
        <v>0</v>
      </c>
      <c r="AW10" s="37" t="b">
        <v>0</v>
      </c>
      <c r="AX10" s="37" t="s">
        <v>195</v>
      </c>
      <c r="AY10" s="37" t="s">
        <v>196</v>
      </c>
      <c r="AZ10" s="37" t="s">
        <v>200</v>
      </c>
      <c r="BA10" s="37" t="s">
        <v>200</v>
      </c>
      <c r="BB10" s="37" t="s">
        <v>200</v>
      </c>
      <c r="BC10" s="37" t="s">
        <v>200</v>
      </c>
      <c r="BD10" s="37" t="s">
        <v>200</v>
      </c>
      <c r="BE10" s="37" t="s">
        <v>201</v>
      </c>
      <c r="BF10" s="37" t="s">
        <v>207</v>
      </c>
      <c r="BG10" s="72" t="e">
        <v>#N/A</v>
      </c>
      <c r="BH10" s="72" t="e">
        <v>#N/A</v>
      </c>
      <c r="BI10" s="39" t="e">
        <v>#N/A</v>
      </c>
      <c r="BJ10" s="72" t="e">
        <v>#N/A</v>
      </c>
      <c r="BK10" s="72" t="e">
        <v>#N/A</v>
      </c>
      <c r="BL10" s="72" t="e">
        <v>#N/A</v>
      </c>
      <c r="BM10" s="37" t="e">
        <v>#N/A</v>
      </c>
      <c r="BN10" s="72" t="e">
        <v>#N/A</v>
      </c>
      <c r="BO10" s="72" t="e">
        <v>#N/A</v>
      </c>
      <c r="BP10" s="72" t="e">
        <v>#N/A</v>
      </c>
      <c r="BQ10" s="37" t="s">
        <v>210</v>
      </c>
      <c r="BR10" s="37" t="e">
        <v>#N/A</v>
      </c>
      <c r="BS10" s="37" t="s">
        <v>208</v>
      </c>
      <c r="BT10" s="72" t="e">
        <v>#N/A</v>
      </c>
      <c r="BU10" s="37" t="b">
        <v>1</v>
      </c>
      <c r="BV10" s="37" t="b">
        <v>1</v>
      </c>
      <c r="BW10" s="37" t="b">
        <v>0</v>
      </c>
      <c r="BX10" s="37" t="b">
        <v>1</v>
      </c>
      <c r="BY10" s="37" t="b">
        <v>0</v>
      </c>
      <c r="BZ10" s="37" t="b">
        <v>0</v>
      </c>
      <c r="CA10" s="37" t="b">
        <v>0</v>
      </c>
      <c r="CB10" s="37" t="b">
        <v>0</v>
      </c>
      <c r="CC10" s="37" t="b">
        <v>0</v>
      </c>
      <c r="CD10" s="39" t="e">
        <v>#N/A</v>
      </c>
      <c r="CE10" s="37" t="b">
        <v>0</v>
      </c>
      <c r="CF10" s="37" t="b">
        <v>0</v>
      </c>
      <c r="CG10" s="37" t="b">
        <v>0</v>
      </c>
      <c r="CH10" s="37" t="b">
        <v>0</v>
      </c>
      <c r="CI10" s="37" t="b">
        <v>0</v>
      </c>
      <c r="CJ10" s="37" t="b">
        <v>0</v>
      </c>
      <c r="CK10" s="37" t="b">
        <v>0</v>
      </c>
      <c r="CL10" s="37" t="b">
        <v>0</v>
      </c>
      <c r="CM10" s="37" t="b">
        <v>0</v>
      </c>
      <c r="CN10" s="37" t="s">
        <v>39</v>
      </c>
      <c r="CO10" s="57" t="e">
        <v>#N/A</v>
      </c>
      <c r="CP10" s="39" t="e">
        <v>#N/A</v>
      </c>
      <c r="CQ10" s="39" t="e">
        <v>#N/A</v>
      </c>
      <c r="CR10" s="72" t="e">
        <v>#N/A</v>
      </c>
      <c r="CS10" s="72" t="e">
        <v>#N/A</v>
      </c>
      <c r="CT10" s="72" t="e">
        <v>#N/A</v>
      </c>
      <c r="CU10" s="72" t="e">
        <v>#N/A</v>
      </c>
      <c r="CV10" s="72" t="e">
        <v>#N/A</v>
      </c>
      <c r="CW10" s="72" t="e">
        <v>#N/A</v>
      </c>
      <c r="CX10" s="37" t="b">
        <v>1</v>
      </c>
      <c r="CY10" s="37" t="b">
        <v>1</v>
      </c>
      <c r="CZ10" s="37" t="b">
        <v>1</v>
      </c>
      <c r="DA10" s="37" t="b">
        <v>0</v>
      </c>
      <c r="DB10" s="37" t="b">
        <v>1</v>
      </c>
      <c r="DC10" s="37" t="b">
        <v>0</v>
      </c>
      <c r="DD10" s="37" t="b">
        <v>1</v>
      </c>
      <c r="DE10" s="37" t="b">
        <v>0</v>
      </c>
      <c r="DF10" s="102" t="e">
        <v>#N/A</v>
      </c>
      <c r="DG10" s="37" t="s">
        <v>357</v>
      </c>
      <c r="DH10" s="72" t="e">
        <v>#N/A</v>
      </c>
      <c r="DI10" s="72" t="e">
        <v>#N/A</v>
      </c>
      <c r="DJ10" s="72" t="e">
        <v>#N/A</v>
      </c>
      <c r="DK10" s="72" t="e">
        <v>#N/A</v>
      </c>
      <c r="DL10" s="37" t="s">
        <v>348</v>
      </c>
      <c r="DM10" s="39" t="b">
        <f t="shared" si="0"/>
        <v>0</v>
      </c>
      <c r="DN10" s="38" t="str">
        <f t="shared" si="1"/>
        <v>8727_Auto_Z 27_ktion_5 M_100_bi_F</v>
      </c>
    </row>
    <row r="11" spans="1:136" ht="15.75" customHeight="1" x14ac:dyDescent="0.25">
      <c r="A11" s="37">
        <v>6</v>
      </c>
      <c r="C11" s="37">
        <v>9158</v>
      </c>
      <c r="D11" s="102" t="s">
        <v>306</v>
      </c>
      <c r="E11" s="58" t="s">
        <v>108</v>
      </c>
      <c r="F11" s="102" t="s">
        <v>305</v>
      </c>
      <c r="G11" s="102" t="s">
        <v>304</v>
      </c>
      <c r="H11" s="102">
        <v>92269</v>
      </c>
      <c r="I11" s="37" t="s">
        <v>114</v>
      </c>
      <c r="J11" s="102" t="s">
        <v>303</v>
      </c>
      <c r="K11" s="102" t="s">
        <v>302</v>
      </c>
      <c r="L11" s="102" t="s">
        <v>301</v>
      </c>
      <c r="M11" s="102" t="s">
        <v>300</v>
      </c>
      <c r="N11" s="102" t="s">
        <v>1285</v>
      </c>
      <c r="O11" s="102" t="s">
        <v>1286</v>
      </c>
      <c r="P11" s="102" t="s">
        <v>1287</v>
      </c>
      <c r="Q11" s="102" t="s">
        <v>1288</v>
      </c>
      <c r="R11" s="37" t="s">
        <v>118</v>
      </c>
      <c r="S11" s="37" t="s">
        <v>121</v>
      </c>
      <c r="T11" s="39" t="e">
        <v>#N/A</v>
      </c>
      <c r="U11" s="41" t="s">
        <v>104</v>
      </c>
      <c r="V11" s="37" t="s">
        <v>132</v>
      </c>
      <c r="W11" s="39" t="e">
        <v>#N/A</v>
      </c>
      <c r="X11" s="39" t="e">
        <v>#N/A</v>
      </c>
      <c r="Y11" s="37" t="s">
        <v>299</v>
      </c>
      <c r="Z11" s="37" t="s">
        <v>148</v>
      </c>
      <c r="AA11" s="37" t="s">
        <v>157</v>
      </c>
      <c r="AB11" s="132" t="e">
        <v>#N/A</v>
      </c>
      <c r="AC11" s="132" t="e">
        <v>#N/A</v>
      </c>
      <c r="AD11" s="102" t="e">
        <v>#N/A</v>
      </c>
      <c r="AE11" s="102" t="e">
        <v>#N/A</v>
      </c>
      <c r="AF11" s="102" t="e">
        <v>#N/A</v>
      </c>
      <c r="AG11" s="102" t="e">
        <v>#N/A</v>
      </c>
      <c r="AH11" s="41" t="s">
        <v>161</v>
      </c>
      <c r="AI11" s="37" t="s">
        <v>177</v>
      </c>
      <c r="AJ11" s="37" t="s">
        <v>183</v>
      </c>
      <c r="AK11" s="37" t="s">
        <v>298</v>
      </c>
      <c r="AL11" s="37" t="s">
        <v>187</v>
      </c>
      <c r="AM11" s="37">
        <v>10</v>
      </c>
      <c r="AN11" s="37" t="b">
        <v>0</v>
      </c>
      <c r="AO11" s="37" t="b">
        <v>0</v>
      </c>
      <c r="AP11" s="37" t="b">
        <v>0</v>
      </c>
      <c r="AQ11" s="37" t="b">
        <v>0</v>
      </c>
      <c r="AR11" s="37" t="b">
        <v>0</v>
      </c>
      <c r="AS11" s="37" t="b">
        <v>0</v>
      </c>
      <c r="AT11" s="37" t="b">
        <v>1</v>
      </c>
      <c r="AU11" s="37" t="b">
        <v>0</v>
      </c>
      <c r="AV11" s="37" t="b">
        <v>0</v>
      </c>
      <c r="AW11" s="37" t="b">
        <v>1</v>
      </c>
      <c r="AX11" s="37" t="s">
        <v>194</v>
      </c>
      <c r="AY11" s="37" t="s">
        <v>198</v>
      </c>
      <c r="AZ11" s="37" t="s">
        <v>200</v>
      </c>
      <c r="BA11" s="37" t="s">
        <v>200</v>
      </c>
      <c r="BB11" s="37" t="s">
        <v>200</v>
      </c>
      <c r="BC11" s="37" t="s">
        <v>200</v>
      </c>
      <c r="BD11" s="37" t="s">
        <v>200</v>
      </c>
      <c r="BE11" s="37" t="e">
        <v>#N/A</v>
      </c>
      <c r="BF11" s="37" t="e">
        <v>#N/A</v>
      </c>
      <c r="BG11" s="37" t="e">
        <v>#N/A</v>
      </c>
      <c r="BH11" s="37" t="e">
        <v>#N/A</v>
      </c>
      <c r="BI11" s="39" t="e">
        <v>#N/A</v>
      </c>
      <c r="BJ11" s="37" t="e">
        <v>#N/A</v>
      </c>
      <c r="BK11" s="37" t="e">
        <v>#N/A</v>
      </c>
      <c r="BL11" s="37" t="e">
        <v>#N/A</v>
      </c>
      <c r="BM11" s="37" t="e">
        <v>#N/A</v>
      </c>
      <c r="BN11" s="37" t="e">
        <v>#N/A</v>
      </c>
      <c r="BO11" s="37" t="e">
        <v>#N/A</v>
      </c>
      <c r="BP11" s="37" t="e">
        <v>#N/A</v>
      </c>
      <c r="BQ11" s="37" t="s">
        <v>210</v>
      </c>
      <c r="BR11" s="37" t="s">
        <v>104</v>
      </c>
      <c r="BS11" s="37" t="s">
        <v>104</v>
      </c>
      <c r="BT11" s="37" t="s">
        <v>33</v>
      </c>
      <c r="BU11" s="37" t="b">
        <v>0</v>
      </c>
      <c r="BV11" s="37" t="b">
        <v>0</v>
      </c>
      <c r="BW11" s="37" t="b">
        <v>0</v>
      </c>
      <c r="BX11" s="37" t="b">
        <v>0</v>
      </c>
      <c r="BY11" s="37" t="b">
        <v>0</v>
      </c>
      <c r="BZ11" s="37" t="b">
        <v>0</v>
      </c>
      <c r="CA11" s="37" t="b">
        <v>0</v>
      </c>
      <c r="CB11" s="37" t="b">
        <v>0</v>
      </c>
      <c r="CC11" s="37" t="b">
        <v>1</v>
      </c>
      <c r="CD11" s="37" t="s">
        <v>297</v>
      </c>
      <c r="CE11" s="37" t="b">
        <v>0</v>
      </c>
      <c r="CF11" s="37" t="b">
        <v>0</v>
      </c>
      <c r="CG11" s="37" t="b">
        <v>0</v>
      </c>
      <c r="CH11" s="37" t="b">
        <v>0</v>
      </c>
      <c r="CI11" s="37" t="b">
        <v>0</v>
      </c>
      <c r="CJ11" s="37" t="b">
        <v>0</v>
      </c>
      <c r="CK11" s="37" t="b">
        <v>0</v>
      </c>
      <c r="CL11" s="37" t="b">
        <v>0</v>
      </c>
      <c r="CM11" s="37" t="b">
        <v>0</v>
      </c>
      <c r="CN11" s="37" t="s">
        <v>39</v>
      </c>
      <c r="CO11" s="57" t="e">
        <v>#N/A</v>
      </c>
      <c r="CP11" s="39" t="e">
        <v>#N/A</v>
      </c>
      <c r="CQ11" s="39" t="e">
        <v>#N/A</v>
      </c>
      <c r="CR11" s="37" t="e">
        <v>#N/A</v>
      </c>
      <c r="CS11" s="37" t="e">
        <v>#N/A</v>
      </c>
      <c r="CT11" s="37" t="e">
        <v>#N/A</v>
      </c>
      <c r="CU11" s="37" t="e">
        <v>#N/A</v>
      </c>
      <c r="CV11" s="37" t="e">
        <v>#N/A</v>
      </c>
      <c r="CW11" s="37" t="s">
        <v>39</v>
      </c>
      <c r="CX11" s="37" t="b">
        <v>0</v>
      </c>
      <c r="CY11" s="37" t="b">
        <v>1</v>
      </c>
      <c r="CZ11" s="37" t="b">
        <v>1</v>
      </c>
      <c r="DA11" s="37" t="b">
        <v>1</v>
      </c>
      <c r="DB11" s="37" t="b">
        <v>1</v>
      </c>
      <c r="DC11" s="37" t="b">
        <v>1</v>
      </c>
      <c r="DD11" s="37" t="b">
        <v>0</v>
      </c>
      <c r="DE11" s="37" t="b">
        <v>0</v>
      </c>
      <c r="DF11" s="132" t="e">
        <v>#N/A</v>
      </c>
      <c r="DG11" s="37" t="s">
        <v>267</v>
      </c>
      <c r="DH11" s="37">
        <v>40672</v>
      </c>
      <c r="DI11" s="37">
        <v>40701</v>
      </c>
      <c r="DJ11" s="37" t="s">
        <v>296</v>
      </c>
      <c r="DK11" s="37">
        <v>40701</v>
      </c>
      <c r="DL11" s="39" t="s">
        <v>266</v>
      </c>
      <c r="DM11" s="39" t="b">
        <f t="shared" si="0"/>
        <v>0</v>
      </c>
      <c r="DN11" s="38" t="str">
        <f t="shared" si="1"/>
        <v>9158_Indu_eine_ktion_5 M_100_bi_F</v>
      </c>
    </row>
    <row r="12" spans="1:136" ht="15.75" customHeight="1" x14ac:dyDescent="0.25">
      <c r="A12" s="37">
        <v>7</v>
      </c>
      <c r="C12" s="37">
        <v>3023</v>
      </c>
      <c r="D12" s="132" t="s">
        <v>668</v>
      </c>
      <c r="E12" s="57" t="s">
        <v>111</v>
      </c>
      <c r="F12" s="132" t="s">
        <v>675</v>
      </c>
      <c r="G12" s="132" t="s">
        <v>674</v>
      </c>
      <c r="H12" s="132">
        <v>92519</v>
      </c>
      <c r="I12" s="39" t="s">
        <v>114</v>
      </c>
      <c r="J12" s="132" t="s">
        <v>673</v>
      </c>
      <c r="K12" s="132" t="s">
        <v>672</v>
      </c>
      <c r="L12" s="132" t="s">
        <v>671</v>
      </c>
      <c r="M12" s="132" t="s">
        <v>670</v>
      </c>
      <c r="N12" s="132" t="s">
        <v>1289</v>
      </c>
      <c r="O12" s="132" t="s">
        <v>1290</v>
      </c>
      <c r="P12" s="132" t="s">
        <v>1291</v>
      </c>
      <c r="Q12" s="132" t="s">
        <v>1292</v>
      </c>
      <c r="R12" s="39" t="s">
        <v>118</v>
      </c>
      <c r="S12" s="39" t="e">
        <v>#N/A</v>
      </c>
      <c r="T12" s="39" t="e">
        <v>#N/A</v>
      </c>
      <c r="U12" s="40" t="e">
        <v>#N/A</v>
      </c>
      <c r="V12" s="39" t="e">
        <v>#N/A</v>
      </c>
      <c r="W12" s="39" t="e">
        <v>#N/A</v>
      </c>
      <c r="X12" s="39" t="e">
        <v>#N/A</v>
      </c>
      <c r="Y12" s="39" t="s">
        <v>669</v>
      </c>
      <c r="Z12" s="39" t="s">
        <v>151</v>
      </c>
      <c r="AA12" s="39" t="s">
        <v>159</v>
      </c>
      <c r="AB12" s="132" t="s">
        <v>668</v>
      </c>
      <c r="AC12" s="132" t="s">
        <v>1293</v>
      </c>
      <c r="AD12" s="132" t="s">
        <v>1294</v>
      </c>
      <c r="AE12" s="102" t="e">
        <v>#N/A</v>
      </c>
      <c r="AF12" s="102" t="e">
        <v>#N/A</v>
      </c>
      <c r="AG12" s="102" t="e">
        <v>#N/A</v>
      </c>
      <c r="AH12" s="41" t="s">
        <v>161</v>
      </c>
      <c r="AI12" s="39" t="s">
        <v>177</v>
      </c>
      <c r="AJ12" s="39" t="s">
        <v>185</v>
      </c>
      <c r="AK12" s="39">
        <v>550</v>
      </c>
      <c r="AL12" s="39" t="s">
        <v>187</v>
      </c>
      <c r="AM12" s="39" t="e">
        <v>#N/A</v>
      </c>
      <c r="AN12" s="39" t="b">
        <v>1</v>
      </c>
      <c r="AO12" s="39" t="b">
        <v>0</v>
      </c>
      <c r="AP12" s="39" t="b">
        <v>0</v>
      </c>
      <c r="AQ12" s="39" t="b">
        <v>0</v>
      </c>
      <c r="AR12" s="39" t="b">
        <v>0</v>
      </c>
      <c r="AS12" s="39" t="b">
        <v>1</v>
      </c>
      <c r="AT12" s="39" t="b">
        <v>0</v>
      </c>
      <c r="AU12" s="39" t="b">
        <v>0</v>
      </c>
      <c r="AV12" s="39" t="b">
        <v>0</v>
      </c>
      <c r="AW12" s="39" t="b">
        <v>0</v>
      </c>
      <c r="AX12" s="39" t="s">
        <v>194</v>
      </c>
      <c r="AY12" s="39" t="s">
        <v>196</v>
      </c>
      <c r="AZ12" s="37" t="e">
        <v>#N/A</v>
      </c>
      <c r="BA12" s="37" t="e">
        <v>#N/A</v>
      </c>
      <c r="BB12" s="37" t="e">
        <v>#N/A</v>
      </c>
      <c r="BC12" s="37" t="e">
        <v>#N/A</v>
      </c>
      <c r="BD12" s="37" t="e">
        <v>#N/A</v>
      </c>
      <c r="BE12" s="39" t="s">
        <v>249</v>
      </c>
      <c r="BF12" s="37" t="e">
        <v>#N/A</v>
      </c>
      <c r="BG12" s="37" t="e">
        <v>#N/A</v>
      </c>
      <c r="BH12" s="37" t="e">
        <v>#N/A</v>
      </c>
      <c r="BI12" s="39" t="s">
        <v>202</v>
      </c>
      <c r="BJ12" s="37" t="e">
        <v>#N/A</v>
      </c>
      <c r="BK12" s="37" t="e">
        <v>#N/A</v>
      </c>
      <c r="BL12" s="37" t="e">
        <v>#N/A</v>
      </c>
      <c r="BM12" s="39" t="s">
        <v>206</v>
      </c>
      <c r="BN12" s="37" t="e">
        <v>#N/A</v>
      </c>
      <c r="BO12" s="37" t="e">
        <v>#N/A</v>
      </c>
      <c r="BP12" s="37" t="e">
        <v>#N/A</v>
      </c>
      <c r="BQ12" s="39" t="s">
        <v>209</v>
      </c>
      <c r="BR12" s="39" t="s">
        <v>104</v>
      </c>
      <c r="BS12" s="39" t="s">
        <v>208</v>
      </c>
      <c r="BT12" s="39" t="s">
        <v>33</v>
      </c>
      <c r="BU12" s="39" t="b">
        <v>1</v>
      </c>
      <c r="BV12" s="39" t="b">
        <v>0</v>
      </c>
      <c r="BW12" s="39" t="b">
        <v>0</v>
      </c>
      <c r="BX12" s="39" t="b">
        <v>1</v>
      </c>
      <c r="BY12" s="39" t="b">
        <v>1</v>
      </c>
      <c r="BZ12" s="39" t="b">
        <v>0</v>
      </c>
      <c r="CA12" s="39" t="b">
        <v>0</v>
      </c>
      <c r="CB12" s="39" t="b">
        <v>0</v>
      </c>
      <c r="CC12" s="39" t="b">
        <v>0</v>
      </c>
      <c r="CD12" s="39" t="e">
        <v>#N/A</v>
      </c>
      <c r="CE12" s="39" t="b">
        <v>0</v>
      </c>
      <c r="CF12" s="39" t="b">
        <v>0</v>
      </c>
      <c r="CG12" s="39" t="b">
        <v>0</v>
      </c>
      <c r="CH12" s="39" t="b">
        <v>0</v>
      </c>
      <c r="CI12" s="39" t="b">
        <v>0</v>
      </c>
      <c r="CJ12" s="39" t="b">
        <v>0</v>
      </c>
      <c r="CK12" s="39" t="b">
        <v>0</v>
      </c>
      <c r="CL12" s="39" t="b">
        <v>0</v>
      </c>
      <c r="CM12" s="39" t="b">
        <v>0</v>
      </c>
      <c r="CN12" s="39" t="s">
        <v>39</v>
      </c>
      <c r="CO12" s="57" t="e">
        <v>#N/A</v>
      </c>
      <c r="CP12" s="39" t="e">
        <v>#N/A</v>
      </c>
      <c r="CQ12" s="39" t="e">
        <v>#N/A</v>
      </c>
      <c r="CR12" s="37" t="e">
        <v>#N/A</v>
      </c>
      <c r="CS12" s="37" t="e">
        <v>#N/A</v>
      </c>
      <c r="CT12" s="37" t="e">
        <v>#N/A</v>
      </c>
      <c r="CU12" s="37" t="e">
        <v>#N/A</v>
      </c>
      <c r="CV12" s="37" t="e">
        <v>#N/A</v>
      </c>
      <c r="CW12" s="37" t="e">
        <v>#N/A</v>
      </c>
      <c r="CX12" s="39" t="b">
        <v>1</v>
      </c>
      <c r="CY12" s="39" t="b">
        <v>1</v>
      </c>
      <c r="CZ12" s="39" t="b">
        <v>0</v>
      </c>
      <c r="DA12" s="39" t="b">
        <v>0</v>
      </c>
      <c r="DB12" s="39" t="b">
        <v>0</v>
      </c>
      <c r="DC12" s="39" t="b">
        <v>0</v>
      </c>
      <c r="DD12" s="39" t="b">
        <v>0</v>
      </c>
      <c r="DE12" s="39" t="b">
        <v>0</v>
      </c>
      <c r="DF12" s="132" t="s">
        <v>1295</v>
      </c>
      <c r="DG12" s="39" t="s">
        <v>475</v>
      </c>
      <c r="DH12" s="39">
        <v>40665</v>
      </c>
      <c r="DI12" s="39">
        <v>40687</v>
      </c>
      <c r="DJ12" s="39">
        <v>40687</v>
      </c>
      <c r="DK12" s="39">
        <v>40688</v>
      </c>
      <c r="DL12" s="39" t="s">
        <v>266</v>
      </c>
      <c r="DM12" s="39" t="b">
        <f t="shared" si="0"/>
        <v>0</v>
      </c>
      <c r="DN12" s="38" t="str">
        <f t="shared" si="1"/>
        <v>3023_Indu_XXXX_ktion_5 M_500_bi_F</v>
      </c>
    </row>
    <row r="13" spans="1:136" ht="15.75" customHeight="1" x14ac:dyDescent="0.25">
      <c r="A13" s="37">
        <v>8</v>
      </c>
      <c r="C13" s="37">
        <v>1613</v>
      </c>
      <c r="D13" s="132" t="s">
        <v>772</v>
      </c>
      <c r="E13" s="57" t="s">
        <v>110</v>
      </c>
      <c r="F13" s="132" t="s">
        <v>771</v>
      </c>
      <c r="G13" s="132" t="s">
        <v>770</v>
      </c>
      <c r="H13" s="132">
        <v>92242</v>
      </c>
      <c r="I13" s="39" t="s">
        <v>114</v>
      </c>
      <c r="J13" s="132" t="s">
        <v>664</v>
      </c>
      <c r="K13" s="132" t="s">
        <v>769</v>
      </c>
      <c r="L13" s="132" t="s">
        <v>662</v>
      </c>
      <c r="M13" s="132" t="s">
        <v>1296</v>
      </c>
      <c r="N13" s="132" t="e">
        <v>#N/A</v>
      </c>
      <c r="O13" s="132" t="s">
        <v>1297</v>
      </c>
      <c r="P13" s="132" t="e">
        <v>#N/A</v>
      </c>
      <c r="Q13" s="132" t="s">
        <v>1298</v>
      </c>
      <c r="R13" s="39" t="s">
        <v>117</v>
      </c>
      <c r="S13" s="39" t="s">
        <v>119</v>
      </c>
      <c r="T13" s="39" t="s">
        <v>120</v>
      </c>
      <c r="U13" s="40" t="s">
        <v>137</v>
      </c>
      <c r="V13" s="39" t="e">
        <v>#N/A</v>
      </c>
      <c r="W13" s="39" t="e">
        <v>#N/A</v>
      </c>
      <c r="X13" s="39" t="e">
        <v>#N/A</v>
      </c>
      <c r="Y13" s="39" t="e">
        <v>#N/A</v>
      </c>
      <c r="Z13" s="39" t="s">
        <v>148</v>
      </c>
      <c r="AA13" s="39" t="s">
        <v>156</v>
      </c>
      <c r="AB13" s="132" t="e">
        <v>#N/A</v>
      </c>
      <c r="AC13" s="132" t="e">
        <v>#N/A</v>
      </c>
      <c r="AD13" s="102" t="e">
        <v>#N/A</v>
      </c>
      <c r="AE13" s="102" t="e">
        <v>#N/A</v>
      </c>
      <c r="AF13" s="102" t="e">
        <v>#N/A</v>
      </c>
      <c r="AG13" s="102" t="e">
        <v>#N/A</v>
      </c>
      <c r="AH13" s="41" t="s">
        <v>163</v>
      </c>
      <c r="AI13" s="39" t="e">
        <v>#N/A</v>
      </c>
      <c r="AJ13" s="39" t="s">
        <v>182</v>
      </c>
      <c r="AK13" s="39" t="e">
        <v>#N/A</v>
      </c>
      <c r="AL13" s="39" t="s">
        <v>189</v>
      </c>
      <c r="AM13" s="39" t="e">
        <v>#N/A</v>
      </c>
      <c r="AN13" s="39" t="b">
        <v>1</v>
      </c>
      <c r="AO13" s="39" t="b">
        <v>0</v>
      </c>
      <c r="AP13" s="39" t="b">
        <v>0</v>
      </c>
      <c r="AQ13" s="39" t="b">
        <v>0</v>
      </c>
      <c r="AR13" s="39" t="b">
        <v>0</v>
      </c>
      <c r="AS13" s="39" t="b">
        <v>0</v>
      </c>
      <c r="AT13" s="39" t="b">
        <v>0</v>
      </c>
      <c r="AU13" s="39" t="b">
        <v>0</v>
      </c>
      <c r="AV13" s="39" t="b">
        <v>0</v>
      </c>
      <c r="AW13" s="39" t="b">
        <v>0</v>
      </c>
      <c r="AX13" s="39" t="s">
        <v>194</v>
      </c>
      <c r="AY13" s="39" t="s">
        <v>196</v>
      </c>
      <c r="AZ13" s="39" t="s">
        <v>197</v>
      </c>
      <c r="BA13" s="39" t="s">
        <v>196</v>
      </c>
      <c r="BB13" s="39" t="s">
        <v>199</v>
      </c>
      <c r="BC13" s="39" t="s">
        <v>199</v>
      </c>
      <c r="BD13" s="39" t="s">
        <v>200</v>
      </c>
      <c r="BE13" s="37" t="e">
        <v>#N/A</v>
      </c>
      <c r="BF13" s="37" t="e">
        <v>#N/A</v>
      </c>
      <c r="BG13" s="37" t="e">
        <v>#N/A</v>
      </c>
      <c r="BH13" s="37" t="e">
        <v>#N/A</v>
      </c>
      <c r="BI13" s="39" t="e">
        <v>#N/A</v>
      </c>
      <c r="BJ13" s="37" t="e">
        <v>#N/A</v>
      </c>
      <c r="BK13" s="37" t="e">
        <v>#N/A</v>
      </c>
      <c r="BL13" s="37" t="e">
        <v>#N/A</v>
      </c>
      <c r="BM13" s="37" t="e">
        <v>#N/A</v>
      </c>
      <c r="BN13" s="37" t="e">
        <v>#N/A</v>
      </c>
      <c r="BO13" s="37" t="e">
        <v>#N/A</v>
      </c>
      <c r="BP13" s="37" t="e">
        <v>#N/A</v>
      </c>
      <c r="BQ13" s="37" t="e">
        <v>#N/A</v>
      </c>
      <c r="BR13" s="39" t="s">
        <v>208</v>
      </c>
      <c r="BS13" s="39" t="s">
        <v>208</v>
      </c>
      <c r="BT13" s="39" t="s">
        <v>33</v>
      </c>
      <c r="BU13" s="39" t="b">
        <v>0</v>
      </c>
      <c r="BV13" s="39" t="b">
        <v>0</v>
      </c>
      <c r="BW13" s="39" t="b">
        <v>1</v>
      </c>
      <c r="BX13" s="39" t="b">
        <v>1</v>
      </c>
      <c r="BY13" s="39" t="b">
        <v>0</v>
      </c>
      <c r="BZ13" s="39" t="b">
        <v>0</v>
      </c>
      <c r="CA13" s="39" t="b">
        <v>0</v>
      </c>
      <c r="CB13" s="39" t="b">
        <v>0</v>
      </c>
      <c r="CC13" s="39" t="b">
        <v>0</v>
      </c>
      <c r="CD13" s="39" t="e">
        <v>#N/A</v>
      </c>
      <c r="CE13" s="39" t="b">
        <v>1</v>
      </c>
      <c r="CF13" s="39" t="b">
        <v>1</v>
      </c>
      <c r="CG13" s="39" t="b">
        <v>0</v>
      </c>
      <c r="CH13" s="39" t="b">
        <v>0</v>
      </c>
      <c r="CI13" s="39" t="b">
        <v>0</v>
      </c>
      <c r="CJ13" s="39" t="b">
        <v>0</v>
      </c>
      <c r="CK13" s="39" t="b">
        <v>0</v>
      </c>
      <c r="CL13" s="39" t="b">
        <v>0</v>
      </c>
      <c r="CM13" s="39" t="b">
        <v>0</v>
      </c>
      <c r="CN13" s="39" t="s">
        <v>211</v>
      </c>
      <c r="CO13" s="57" t="e">
        <v>#N/A</v>
      </c>
      <c r="CP13" s="39" t="e">
        <v>#N/A</v>
      </c>
      <c r="CQ13" s="39" t="s">
        <v>768</v>
      </c>
      <c r="CR13" s="37" t="e">
        <v>#N/A</v>
      </c>
      <c r="CS13" s="37" t="e">
        <v>#N/A</v>
      </c>
      <c r="CT13" s="37" t="e">
        <v>#N/A</v>
      </c>
      <c r="CU13" s="37" t="e">
        <v>#N/A</v>
      </c>
      <c r="CV13" s="37" t="e">
        <v>#N/A</v>
      </c>
      <c r="CW13" s="39" t="s">
        <v>216</v>
      </c>
      <c r="CX13" s="39" t="b">
        <v>0</v>
      </c>
      <c r="CY13" s="39" t="b">
        <v>1</v>
      </c>
      <c r="CZ13" s="39" t="b">
        <v>1</v>
      </c>
      <c r="DA13" s="39" t="b">
        <v>0</v>
      </c>
      <c r="DB13" s="39" t="b">
        <v>1</v>
      </c>
      <c r="DC13" s="39" t="b">
        <v>0</v>
      </c>
      <c r="DD13" s="39" t="b">
        <v>1</v>
      </c>
      <c r="DE13" s="39" t="b">
        <v>0</v>
      </c>
      <c r="DF13" s="132" t="e">
        <v>#N/A</v>
      </c>
      <c r="DG13" s="39" t="s">
        <v>767</v>
      </c>
      <c r="DH13" s="39" t="e">
        <v>#REF!</v>
      </c>
      <c r="DI13" s="37" t="e">
        <v>#N/A</v>
      </c>
      <c r="DJ13" s="39">
        <v>40679</v>
      </c>
      <c r="DK13" s="39">
        <v>40687</v>
      </c>
      <c r="DL13" s="39" t="s">
        <v>307</v>
      </c>
      <c r="DM13" s="39" t="b">
        <f t="shared" si="0"/>
        <v>1</v>
      </c>
      <c r="DN13" s="38" t="str">
        <f t="shared" si="1"/>
        <v>1613_Auto_Z 52_sport_XXX_50 _20_W</v>
      </c>
    </row>
    <row r="14" spans="1:136" ht="15.75" customHeight="1" x14ac:dyDescent="0.25">
      <c r="A14" s="37">
        <v>9</v>
      </c>
      <c r="C14" s="37">
        <v>1550</v>
      </c>
      <c r="D14" s="132" t="s">
        <v>794</v>
      </c>
      <c r="E14" s="57" t="s">
        <v>110</v>
      </c>
      <c r="F14" s="132" t="s">
        <v>793</v>
      </c>
      <c r="G14" s="132" t="s">
        <v>576</v>
      </c>
      <c r="H14" s="132">
        <v>92536</v>
      </c>
      <c r="I14" s="39" t="s">
        <v>114</v>
      </c>
      <c r="J14" s="132" t="s">
        <v>792</v>
      </c>
      <c r="K14" s="132" t="s">
        <v>791</v>
      </c>
      <c r="L14" s="132" t="e">
        <v>#N/A</v>
      </c>
      <c r="M14" s="132" t="s">
        <v>790</v>
      </c>
      <c r="N14" s="132" t="s">
        <v>1299</v>
      </c>
      <c r="O14" s="132" t="s">
        <v>1300</v>
      </c>
      <c r="P14" s="132" t="e">
        <v>#N/A</v>
      </c>
      <c r="Q14" s="132" t="s">
        <v>1301</v>
      </c>
      <c r="R14" s="39" t="s">
        <v>119</v>
      </c>
      <c r="S14" s="39" t="e">
        <v>#N/A</v>
      </c>
      <c r="T14" s="39" t="e">
        <v>#N/A</v>
      </c>
      <c r="U14" s="40" t="s">
        <v>132</v>
      </c>
      <c r="V14" s="39" t="e">
        <v>#N/A</v>
      </c>
      <c r="W14" s="39" t="e">
        <v>#N/A</v>
      </c>
      <c r="X14" s="39" t="e">
        <v>#N/A</v>
      </c>
      <c r="Y14" s="39" t="e">
        <v>#N/A</v>
      </c>
      <c r="Z14" s="39" t="s">
        <v>150</v>
      </c>
      <c r="AA14" s="39" t="s">
        <v>158</v>
      </c>
      <c r="AB14" s="132" t="s">
        <v>1302</v>
      </c>
      <c r="AC14" s="132" t="s">
        <v>1303</v>
      </c>
      <c r="AD14" s="132" t="s">
        <v>1304</v>
      </c>
      <c r="AE14" s="102" t="e">
        <v>#N/A</v>
      </c>
      <c r="AF14" s="102" t="e">
        <v>#N/A</v>
      </c>
      <c r="AG14" s="102" t="e">
        <v>#N/A</v>
      </c>
      <c r="AH14" s="41" t="s">
        <v>162</v>
      </c>
      <c r="AI14" s="39" t="s">
        <v>177</v>
      </c>
      <c r="AJ14" s="39" t="s">
        <v>182</v>
      </c>
      <c r="AK14" s="39" t="e">
        <v>#N/A</v>
      </c>
      <c r="AL14" s="39" t="s">
        <v>191</v>
      </c>
      <c r="AM14" s="39" t="e">
        <v>#N/A</v>
      </c>
      <c r="AN14" s="39" t="b">
        <v>1</v>
      </c>
      <c r="AO14" s="39" t="b">
        <v>0</v>
      </c>
      <c r="AP14" s="39" t="b">
        <v>0</v>
      </c>
      <c r="AQ14" s="39" t="b">
        <v>0</v>
      </c>
      <c r="AR14" s="39" t="b">
        <v>0</v>
      </c>
      <c r="AS14" s="39" t="b">
        <v>1</v>
      </c>
      <c r="AT14" s="39" t="b">
        <v>0</v>
      </c>
      <c r="AU14" s="39" t="b">
        <v>0</v>
      </c>
      <c r="AV14" s="39" t="b">
        <v>0</v>
      </c>
      <c r="AW14" s="39" t="b">
        <v>0</v>
      </c>
      <c r="AX14" s="39" t="s">
        <v>195</v>
      </c>
      <c r="AY14" s="39" t="s">
        <v>196</v>
      </c>
      <c r="AZ14" s="39" t="s">
        <v>200</v>
      </c>
      <c r="BA14" s="39" t="s">
        <v>200</v>
      </c>
      <c r="BB14" s="39" t="s">
        <v>200</v>
      </c>
      <c r="BC14" s="39" t="s">
        <v>200</v>
      </c>
      <c r="BD14" s="39" t="s">
        <v>200</v>
      </c>
      <c r="BE14" s="39" t="s">
        <v>201</v>
      </c>
      <c r="BF14" s="37" t="e">
        <v>#N/A</v>
      </c>
      <c r="BG14" s="37" t="e">
        <v>#N/A</v>
      </c>
      <c r="BH14" s="37" t="e">
        <v>#N/A</v>
      </c>
      <c r="BI14" s="39" t="s">
        <v>203</v>
      </c>
      <c r="BJ14" s="39">
        <v>1.3</v>
      </c>
      <c r="BK14" s="37" t="e">
        <v>#N/A</v>
      </c>
      <c r="BL14" s="39" t="s">
        <v>39</v>
      </c>
      <c r="BM14" s="39" t="s">
        <v>206</v>
      </c>
      <c r="BN14" s="37" t="e">
        <v>#N/A</v>
      </c>
      <c r="BO14" s="37" t="e">
        <v>#N/A</v>
      </c>
      <c r="BP14" s="37" t="e">
        <v>#N/A</v>
      </c>
      <c r="BQ14" s="39" t="s">
        <v>104</v>
      </c>
      <c r="BR14" s="39" t="s">
        <v>104</v>
      </c>
      <c r="BS14" s="39" t="s">
        <v>208</v>
      </c>
      <c r="BT14" s="39" t="s">
        <v>33</v>
      </c>
      <c r="BU14" s="39" t="b">
        <v>0</v>
      </c>
      <c r="BV14" s="39" t="b">
        <v>0</v>
      </c>
      <c r="BW14" s="39" t="b">
        <v>0</v>
      </c>
      <c r="BX14" s="39" t="b">
        <v>0</v>
      </c>
      <c r="BY14" s="39" t="b">
        <v>0</v>
      </c>
      <c r="BZ14" s="39" t="b">
        <v>0</v>
      </c>
      <c r="CA14" s="39" t="b">
        <v>0</v>
      </c>
      <c r="CB14" s="39" t="b">
        <v>0</v>
      </c>
      <c r="CC14" s="39" t="b">
        <v>1</v>
      </c>
      <c r="CD14" s="39" t="s">
        <v>789</v>
      </c>
      <c r="CE14" s="39" t="b">
        <v>0</v>
      </c>
      <c r="CF14" s="39" t="b">
        <v>0</v>
      </c>
      <c r="CG14" s="39" t="b">
        <v>0</v>
      </c>
      <c r="CH14" s="39" t="b">
        <v>0</v>
      </c>
      <c r="CI14" s="39" t="b">
        <v>0</v>
      </c>
      <c r="CJ14" s="39" t="b">
        <v>0</v>
      </c>
      <c r="CK14" s="39" t="b">
        <v>0</v>
      </c>
      <c r="CL14" s="39" t="b">
        <v>0</v>
      </c>
      <c r="CM14" s="39" t="b">
        <v>0</v>
      </c>
      <c r="CN14" s="39" t="s">
        <v>39</v>
      </c>
      <c r="CO14" s="57" t="e">
        <v>#N/A</v>
      </c>
      <c r="CP14" s="39" t="e">
        <v>#N/A</v>
      </c>
      <c r="CQ14" s="39" t="e">
        <v>#N/A</v>
      </c>
      <c r="CR14" s="37" t="e">
        <v>#N/A</v>
      </c>
      <c r="CS14" s="37" t="e">
        <v>#N/A</v>
      </c>
      <c r="CT14" s="37" t="e">
        <v>#N/A</v>
      </c>
      <c r="CU14" s="37" t="e">
        <v>#N/A</v>
      </c>
      <c r="CV14" s="37" t="e">
        <v>#N/A</v>
      </c>
      <c r="CW14" s="37" t="e">
        <v>#N/A</v>
      </c>
      <c r="CX14" s="39" t="b">
        <v>0</v>
      </c>
      <c r="CY14" s="39" t="b">
        <v>1</v>
      </c>
      <c r="CZ14" s="39" t="b">
        <v>1</v>
      </c>
      <c r="DA14" s="39" t="b">
        <v>0</v>
      </c>
      <c r="DB14" s="39" t="b">
        <v>1</v>
      </c>
      <c r="DC14" s="39" t="b">
        <v>0</v>
      </c>
      <c r="DD14" s="39" t="b">
        <v>1</v>
      </c>
      <c r="DE14" s="39" t="b">
        <v>1</v>
      </c>
      <c r="DF14" s="132" t="e">
        <v>#N/A</v>
      </c>
      <c r="DG14" s="39" t="s">
        <v>458</v>
      </c>
      <c r="DH14" s="37" t="e">
        <v>#N/A</v>
      </c>
      <c r="DI14" s="37" t="e">
        <v>#N/A</v>
      </c>
      <c r="DJ14" s="39">
        <v>40697</v>
      </c>
      <c r="DK14" s="39">
        <v>40714</v>
      </c>
      <c r="DL14" s="39" t="s">
        <v>266</v>
      </c>
      <c r="DM14" s="39" t="b">
        <f t="shared" si="0"/>
        <v>0</v>
      </c>
      <c r="DN14" s="38" t="str">
        <f t="shared" si="1"/>
        <v>1550_Dien_Z 46_andel_5 M_50 _50_F</v>
      </c>
    </row>
    <row r="15" spans="1:136" ht="15.75" customHeight="1" x14ac:dyDescent="0.25">
      <c r="A15" s="37">
        <v>10</v>
      </c>
      <c r="C15" s="37">
        <v>3422</v>
      </c>
      <c r="D15" s="132" t="s">
        <v>650</v>
      </c>
      <c r="E15" s="57" t="s">
        <v>110</v>
      </c>
      <c r="F15" s="132" t="s">
        <v>649</v>
      </c>
      <c r="G15" s="132" t="s">
        <v>576</v>
      </c>
      <c r="H15" s="132">
        <v>92536</v>
      </c>
      <c r="I15" s="39" t="s">
        <v>114</v>
      </c>
      <c r="J15" s="132" t="s">
        <v>648</v>
      </c>
      <c r="K15" s="132" t="s">
        <v>647</v>
      </c>
      <c r="L15" s="132" t="s">
        <v>646</v>
      </c>
      <c r="M15" s="132" t="s">
        <v>645</v>
      </c>
      <c r="N15" s="132" t="e">
        <v>#N/A</v>
      </c>
      <c r="O15" s="132" t="s">
        <v>1305</v>
      </c>
      <c r="P15" s="132" t="s">
        <v>1306</v>
      </c>
      <c r="Q15" s="132" t="s">
        <v>1307</v>
      </c>
      <c r="R15" s="39" t="s">
        <v>119</v>
      </c>
      <c r="S15" s="39" t="e">
        <v>#N/A</v>
      </c>
      <c r="T15" s="39" t="e">
        <v>#N/A</v>
      </c>
      <c r="U15" s="40" t="s">
        <v>133</v>
      </c>
      <c r="V15" s="39" t="s">
        <v>138</v>
      </c>
      <c r="W15" s="39" t="s">
        <v>142</v>
      </c>
      <c r="X15" s="39" t="e">
        <v>#N/A</v>
      </c>
      <c r="Y15" s="39" t="s">
        <v>644</v>
      </c>
      <c r="Z15" s="39" t="s">
        <v>149</v>
      </c>
      <c r="AA15" s="39" t="s">
        <v>156</v>
      </c>
      <c r="AB15" s="132" t="e">
        <v>#N/A</v>
      </c>
      <c r="AC15" s="132" t="e">
        <v>#N/A</v>
      </c>
      <c r="AD15" s="102" t="e">
        <v>#N/A</v>
      </c>
      <c r="AE15" s="102" t="e">
        <v>#N/A</v>
      </c>
      <c r="AF15" s="102" t="e">
        <v>#N/A</v>
      </c>
      <c r="AG15" s="102" t="e">
        <v>#N/A</v>
      </c>
      <c r="AH15" s="41" t="s">
        <v>154</v>
      </c>
      <c r="AI15" s="39" t="s">
        <v>175</v>
      </c>
      <c r="AJ15" s="57" t="s">
        <v>179</v>
      </c>
      <c r="AK15" s="39" t="e">
        <v>#N/A</v>
      </c>
      <c r="AL15" s="39" t="s">
        <v>187</v>
      </c>
      <c r="AM15" s="39" t="e">
        <v>#N/A</v>
      </c>
      <c r="AN15" s="39" t="b">
        <v>0</v>
      </c>
      <c r="AO15" s="39" t="b">
        <v>0</v>
      </c>
      <c r="AP15" s="39" t="b">
        <v>0</v>
      </c>
      <c r="AQ15" s="39" t="b">
        <v>0</v>
      </c>
      <c r="AR15" s="39" t="b">
        <v>0</v>
      </c>
      <c r="AS15" s="39" t="b">
        <v>0</v>
      </c>
      <c r="AT15" s="39" t="b">
        <v>1</v>
      </c>
      <c r="AU15" s="39" t="b">
        <v>0</v>
      </c>
      <c r="AV15" s="39" t="b">
        <v>0</v>
      </c>
      <c r="AW15" s="39" t="b">
        <v>0</v>
      </c>
      <c r="AX15" s="39" t="s">
        <v>193</v>
      </c>
      <c r="AY15" s="37" t="e">
        <v>#N/A</v>
      </c>
      <c r="AZ15" s="37" t="e">
        <v>#N/A</v>
      </c>
      <c r="BA15" s="37" t="e">
        <v>#N/A</v>
      </c>
      <c r="BB15" s="37" t="e">
        <v>#N/A</v>
      </c>
      <c r="BC15" s="39" t="s">
        <v>196</v>
      </c>
      <c r="BD15" s="72" t="e">
        <v>#N/A</v>
      </c>
      <c r="BE15" s="39" t="s">
        <v>201</v>
      </c>
      <c r="BF15" s="39" t="s">
        <v>643</v>
      </c>
      <c r="BG15" s="39" t="s">
        <v>642</v>
      </c>
      <c r="BH15" s="72" t="e">
        <v>#N/A</v>
      </c>
      <c r="BI15" s="39" t="s">
        <v>203</v>
      </c>
      <c r="BJ15" s="39" t="s">
        <v>641</v>
      </c>
      <c r="BK15" s="39" t="s">
        <v>640</v>
      </c>
      <c r="BL15" s="39" t="s">
        <v>33</v>
      </c>
      <c r="BM15" s="37" t="e">
        <v>#N/A</v>
      </c>
      <c r="BN15" s="72" t="e">
        <v>#N/A</v>
      </c>
      <c r="BO15" s="72" t="e">
        <v>#N/A</v>
      </c>
      <c r="BP15" s="72" t="e">
        <v>#N/A</v>
      </c>
      <c r="BQ15" s="39" t="s">
        <v>104</v>
      </c>
      <c r="BR15" s="39" t="s">
        <v>104</v>
      </c>
      <c r="BS15" s="39" t="s">
        <v>210</v>
      </c>
      <c r="BT15" s="39" t="s">
        <v>39</v>
      </c>
      <c r="BU15" s="39" t="b">
        <v>0</v>
      </c>
      <c r="BV15" s="39" t="b">
        <v>0</v>
      </c>
      <c r="BW15" s="39" t="b">
        <v>0</v>
      </c>
      <c r="BX15" s="39" t="b">
        <v>0</v>
      </c>
      <c r="BY15" s="39" t="b">
        <v>0</v>
      </c>
      <c r="BZ15" s="39" t="b">
        <v>0</v>
      </c>
      <c r="CA15" s="39" t="b">
        <v>0</v>
      </c>
      <c r="CB15" s="39" t="b">
        <v>0</v>
      </c>
      <c r="CC15" s="39" t="b">
        <v>1</v>
      </c>
      <c r="CD15" s="39" t="e">
        <v>#N/A</v>
      </c>
      <c r="CE15" s="39" t="b">
        <v>0</v>
      </c>
      <c r="CF15" s="39" t="b">
        <v>0</v>
      </c>
      <c r="CG15" s="39" t="b">
        <v>0</v>
      </c>
      <c r="CH15" s="39" t="b">
        <v>0</v>
      </c>
      <c r="CI15" s="39" t="b">
        <v>0</v>
      </c>
      <c r="CJ15" s="39" t="b">
        <v>0</v>
      </c>
      <c r="CK15" s="39" t="b">
        <v>0</v>
      </c>
      <c r="CL15" s="39" t="b">
        <v>0</v>
      </c>
      <c r="CM15" s="39" t="b">
        <v>0</v>
      </c>
      <c r="CN15" s="39" t="s">
        <v>39</v>
      </c>
      <c r="CO15" s="57" t="e">
        <v>#N/A</v>
      </c>
      <c r="CP15" s="39" t="e">
        <v>#N/A</v>
      </c>
      <c r="CQ15" s="39" t="e">
        <v>#N/A</v>
      </c>
      <c r="CR15" s="72" t="e">
        <v>#N/A</v>
      </c>
      <c r="CS15" s="72" t="e">
        <v>#N/A</v>
      </c>
      <c r="CT15" s="72" t="e">
        <v>#N/A</v>
      </c>
      <c r="CU15" s="72" t="e">
        <v>#N/A</v>
      </c>
      <c r="CV15" s="72" t="e">
        <v>#N/A</v>
      </c>
      <c r="CW15" s="72" t="e">
        <v>#N/A</v>
      </c>
      <c r="CX15" s="39" t="b">
        <v>1</v>
      </c>
      <c r="CY15" s="39" t="b">
        <v>1</v>
      </c>
      <c r="CZ15" s="39" t="b">
        <v>0</v>
      </c>
      <c r="DA15" s="39" t="b">
        <v>0</v>
      </c>
      <c r="DB15" s="39" t="b">
        <v>1</v>
      </c>
      <c r="DC15" s="39" t="b">
        <v>1</v>
      </c>
      <c r="DD15" s="39" t="b">
        <v>0</v>
      </c>
      <c r="DE15" s="39" t="b">
        <v>1</v>
      </c>
      <c r="DF15" s="132" t="e">
        <v>#N/A</v>
      </c>
      <c r="DG15" s="39" t="s">
        <v>639</v>
      </c>
      <c r="DH15" s="72" t="e">
        <v>#N/A</v>
      </c>
      <c r="DI15" s="72" t="e">
        <v>#N/A</v>
      </c>
      <c r="DJ15" s="39">
        <v>40676</v>
      </c>
      <c r="DK15" s="72" t="e">
        <v>#N/A</v>
      </c>
      <c r="DL15" s="39" t="s">
        <v>638</v>
      </c>
      <c r="DM15" s="39" t="b">
        <f t="shared" si="0"/>
        <v>0</v>
      </c>
      <c r="DN15" s="38" t="str">
        <f t="shared" si="1"/>
        <v>3422_Dien_Z 47_stige_500_4 -_bi_F</v>
      </c>
    </row>
    <row r="16" spans="1:136" ht="15.75" customHeight="1" x14ac:dyDescent="0.25">
      <c r="A16" s="37">
        <v>11</v>
      </c>
      <c r="C16" s="37">
        <v>9565</v>
      </c>
      <c r="D16" s="102" t="s">
        <v>265</v>
      </c>
      <c r="E16" s="58" t="s">
        <v>109</v>
      </c>
      <c r="F16" s="102" t="s">
        <v>264</v>
      </c>
      <c r="G16" s="102" t="s">
        <v>263</v>
      </c>
      <c r="H16" s="102">
        <v>92637</v>
      </c>
      <c r="I16" s="37" t="s">
        <v>114</v>
      </c>
      <c r="J16" s="102" t="s">
        <v>262</v>
      </c>
      <c r="K16" s="102" t="s">
        <v>261</v>
      </c>
      <c r="L16" s="102" t="s">
        <v>260</v>
      </c>
      <c r="M16" s="102" t="s">
        <v>259</v>
      </c>
      <c r="N16" s="102" t="s">
        <v>1308</v>
      </c>
      <c r="O16" s="102" t="s">
        <v>1309</v>
      </c>
      <c r="P16" s="132" t="e">
        <v>#N/A</v>
      </c>
      <c r="Q16" s="132" t="e">
        <v>#N/A</v>
      </c>
      <c r="R16" s="37" t="s">
        <v>118</v>
      </c>
      <c r="S16" s="39" t="e">
        <v>#N/A</v>
      </c>
      <c r="T16" s="39" t="e">
        <v>#N/A</v>
      </c>
      <c r="U16" s="41" t="s">
        <v>128</v>
      </c>
      <c r="V16" s="39" t="e">
        <v>#N/A</v>
      </c>
      <c r="W16" s="39" t="e">
        <v>#N/A</v>
      </c>
      <c r="X16" s="39" t="e">
        <v>#N/A</v>
      </c>
      <c r="Y16" s="37" t="s">
        <v>258</v>
      </c>
      <c r="Z16" s="37" t="s">
        <v>148</v>
      </c>
      <c r="AA16" s="37" t="s">
        <v>158</v>
      </c>
      <c r="AB16" s="132" t="e">
        <v>#N/A</v>
      </c>
      <c r="AC16" s="102" t="s">
        <v>1310</v>
      </c>
      <c r="AD16" s="102" t="s">
        <v>1311</v>
      </c>
      <c r="AE16" s="102" t="e">
        <v>#N/A</v>
      </c>
      <c r="AF16" s="102" t="e">
        <v>#N/A</v>
      </c>
      <c r="AG16" s="102" t="e">
        <v>#N/A</v>
      </c>
      <c r="AH16" s="41" t="s">
        <v>165</v>
      </c>
      <c r="AI16" s="37" t="s">
        <v>176</v>
      </c>
      <c r="AJ16" s="37" t="s">
        <v>182</v>
      </c>
      <c r="AK16" s="39" t="e">
        <v>#N/A</v>
      </c>
      <c r="AL16" s="37" t="s">
        <v>188</v>
      </c>
      <c r="AM16" s="39" t="e">
        <v>#N/A</v>
      </c>
      <c r="AN16" s="37" t="b">
        <v>1</v>
      </c>
      <c r="AO16" s="37" t="b">
        <v>1</v>
      </c>
      <c r="AP16" s="37" t="b">
        <v>0</v>
      </c>
      <c r="AQ16" s="37" t="b">
        <v>0</v>
      </c>
      <c r="AR16" s="37" t="b">
        <v>0</v>
      </c>
      <c r="AS16" s="37" t="b">
        <v>1</v>
      </c>
      <c r="AT16" s="37" t="b">
        <v>0</v>
      </c>
      <c r="AU16" s="37" t="b">
        <v>0</v>
      </c>
      <c r="AV16" s="37" t="b">
        <v>0</v>
      </c>
      <c r="AW16" s="37" t="b">
        <v>0</v>
      </c>
      <c r="AX16" s="37" t="s">
        <v>193</v>
      </c>
      <c r="AY16" s="37" t="s">
        <v>196</v>
      </c>
      <c r="AZ16" s="37" t="s">
        <v>199</v>
      </c>
      <c r="BA16" s="37" t="s">
        <v>199</v>
      </c>
      <c r="BB16" s="37" t="s">
        <v>199</v>
      </c>
      <c r="BC16" s="37" t="s">
        <v>199</v>
      </c>
      <c r="BD16" s="37" t="s">
        <v>199</v>
      </c>
      <c r="BE16" s="37" t="s">
        <v>202</v>
      </c>
      <c r="BF16" s="37" t="s">
        <v>257</v>
      </c>
      <c r="BG16" s="37" t="e">
        <v>#N/A</v>
      </c>
      <c r="BH16" s="37" t="s">
        <v>39</v>
      </c>
      <c r="BI16" s="39" t="e">
        <v>#N/A</v>
      </c>
      <c r="BJ16" s="37" t="e">
        <v>#N/A</v>
      </c>
      <c r="BK16" s="37" t="e">
        <v>#N/A</v>
      </c>
      <c r="BL16" s="37" t="e">
        <v>#N/A</v>
      </c>
      <c r="BM16" s="37" t="e">
        <v>#N/A</v>
      </c>
      <c r="BN16" s="37" t="e">
        <v>#N/A</v>
      </c>
      <c r="BO16" s="37" t="e">
        <v>#N/A</v>
      </c>
      <c r="BP16" s="37" t="e">
        <v>#N/A</v>
      </c>
      <c r="BQ16" s="37" t="s">
        <v>210</v>
      </c>
      <c r="BR16" s="37" t="s">
        <v>104</v>
      </c>
      <c r="BS16" s="37" t="s">
        <v>208</v>
      </c>
      <c r="BT16" s="37" t="s">
        <v>33</v>
      </c>
      <c r="BU16" s="37" t="b">
        <v>0</v>
      </c>
      <c r="BV16" s="37" t="b">
        <v>0</v>
      </c>
      <c r="BW16" s="37" t="b">
        <v>0</v>
      </c>
      <c r="BX16" s="37" t="b">
        <v>0</v>
      </c>
      <c r="BY16" s="37" t="b">
        <v>0</v>
      </c>
      <c r="BZ16" s="37" t="b">
        <v>0</v>
      </c>
      <c r="CA16" s="37" t="b">
        <v>0</v>
      </c>
      <c r="CB16" s="37" t="b">
        <v>0</v>
      </c>
      <c r="CC16" s="37" t="b">
        <v>1</v>
      </c>
      <c r="CD16" s="39" t="e">
        <v>#N/A</v>
      </c>
      <c r="CE16" s="37" t="b">
        <v>0</v>
      </c>
      <c r="CF16" s="37" t="b">
        <v>0</v>
      </c>
      <c r="CG16" s="37" t="b">
        <v>0</v>
      </c>
      <c r="CH16" s="37" t="b">
        <v>0</v>
      </c>
      <c r="CI16" s="37" t="b">
        <v>0</v>
      </c>
      <c r="CJ16" s="37" t="b">
        <v>0</v>
      </c>
      <c r="CK16" s="37" t="b">
        <v>0</v>
      </c>
      <c r="CL16" s="37" t="b">
        <v>0</v>
      </c>
      <c r="CM16" s="37" t="b">
        <v>0</v>
      </c>
      <c r="CN16" s="37" t="s">
        <v>39</v>
      </c>
      <c r="CO16" s="57" t="e">
        <v>#N/A</v>
      </c>
      <c r="CP16" s="39" t="e">
        <v>#N/A</v>
      </c>
      <c r="CQ16" s="39" t="e">
        <v>#N/A</v>
      </c>
      <c r="CR16" s="37" t="e">
        <v>#N/A</v>
      </c>
      <c r="CS16" s="37" t="e">
        <v>#N/A</v>
      </c>
      <c r="CT16" s="37" t="e">
        <v>#N/A</v>
      </c>
      <c r="CU16" s="37" t="e">
        <v>#N/A</v>
      </c>
      <c r="CV16" s="37" t="e">
        <v>#N/A</v>
      </c>
      <c r="CW16" s="37" t="e">
        <v>#N/A</v>
      </c>
      <c r="CX16" s="37" t="b">
        <v>1</v>
      </c>
      <c r="CY16" s="37" t="b">
        <v>1</v>
      </c>
      <c r="CZ16" s="37" t="b">
        <v>1</v>
      </c>
      <c r="DA16" s="37" t="b">
        <v>0</v>
      </c>
      <c r="DB16" s="37" t="b">
        <v>0</v>
      </c>
      <c r="DC16" s="37" t="b">
        <v>0</v>
      </c>
      <c r="DD16" s="37" t="b">
        <v>0</v>
      </c>
      <c r="DE16" s="37" t="b">
        <v>0</v>
      </c>
      <c r="DF16" s="132" t="e">
        <v>#N/A</v>
      </c>
      <c r="DG16" s="37" t="s">
        <v>256</v>
      </c>
      <c r="DH16" s="37">
        <v>40674</v>
      </c>
      <c r="DI16" s="37">
        <v>40682</v>
      </c>
      <c r="DJ16" s="37" t="s">
        <v>255</v>
      </c>
      <c r="DK16" s="37">
        <v>40682</v>
      </c>
      <c r="DL16" s="37" t="s">
        <v>246</v>
      </c>
      <c r="DM16" s="39" t="b">
        <f t="shared" si="0"/>
        <v>0</v>
      </c>
      <c r="DN16" s="38" t="str">
        <f t="shared" si="1"/>
        <v>9565_Indu_Z 25_tung _1 M_50 _10_F</v>
      </c>
    </row>
    <row r="17" spans="1:118" ht="15.75" customHeight="1" x14ac:dyDescent="0.25">
      <c r="A17" s="37">
        <v>12</v>
      </c>
      <c r="C17" s="37">
        <v>4290</v>
      </c>
      <c r="D17" s="132" t="s">
        <v>604</v>
      </c>
      <c r="E17" s="57" t="s">
        <v>109</v>
      </c>
      <c r="F17" s="132" t="s">
        <v>603</v>
      </c>
      <c r="G17" s="132" t="s">
        <v>399</v>
      </c>
      <c r="H17" s="132">
        <v>95703</v>
      </c>
      <c r="I17" s="39" t="s">
        <v>114</v>
      </c>
      <c r="J17" s="132" t="s">
        <v>599</v>
      </c>
      <c r="K17" s="132" t="s">
        <v>602</v>
      </c>
      <c r="L17" s="132" t="s">
        <v>601</v>
      </c>
      <c r="M17" s="132" t="s">
        <v>600</v>
      </c>
      <c r="N17" s="132" t="s">
        <v>1312</v>
      </c>
      <c r="O17" s="132" t="s">
        <v>1313</v>
      </c>
      <c r="P17" s="132" t="s">
        <v>599</v>
      </c>
      <c r="Q17" s="132" t="s">
        <v>1314</v>
      </c>
      <c r="R17" s="39" t="s">
        <v>118</v>
      </c>
      <c r="S17" s="39" t="s">
        <v>121</v>
      </c>
      <c r="T17" s="39" t="s">
        <v>122</v>
      </c>
      <c r="U17" s="40" t="s">
        <v>132</v>
      </c>
      <c r="V17" s="39" t="e">
        <v>#N/A</v>
      </c>
      <c r="W17" s="39" t="e">
        <v>#N/A</v>
      </c>
      <c r="X17" s="39" t="e">
        <v>#N/A</v>
      </c>
      <c r="Y17" s="37" t="e">
        <v>#N/A</v>
      </c>
      <c r="Z17" s="39" t="s">
        <v>148</v>
      </c>
      <c r="AA17" s="39" t="s">
        <v>156</v>
      </c>
      <c r="AB17" s="132" t="e">
        <v>#N/A</v>
      </c>
      <c r="AC17" s="132" t="e">
        <v>#N/A</v>
      </c>
      <c r="AD17" s="102" t="e">
        <v>#N/A</v>
      </c>
      <c r="AE17" s="102" t="e">
        <v>#N/A</v>
      </c>
      <c r="AF17" s="102" t="e">
        <v>#N/A</v>
      </c>
      <c r="AG17" s="102" t="e">
        <v>#N/A</v>
      </c>
      <c r="AH17" s="41" t="s">
        <v>161</v>
      </c>
      <c r="AI17" s="39" t="s">
        <v>177</v>
      </c>
      <c r="AJ17" s="39" t="s">
        <v>183</v>
      </c>
      <c r="AK17" s="39" t="e">
        <v>#N/A</v>
      </c>
      <c r="AL17" s="39" t="s">
        <v>189</v>
      </c>
      <c r="AM17" s="39" t="e">
        <v>#N/A</v>
      </c>
      <c r="AN17" s="39" t="b">
        <v>1</v>
      </c>
      <c r="AO17" s="39" t="b">
        <v>0</v>
      </c>
      <c r="AP17" s="39" t="b">
        <v>0</v>
      </c>
      <c r="AQ17" s="39" t="b">
        <v>0</v>
      </c>
      <c r="AR17" s="39" t="b">
        <v>0</v>
      </c>
      <c r="AS17" s="39" t="b">
        <v>0</v>
      </c>
      <c r="AT17" s="39" t="b">
        <v>0</v>
      </c>
      <c r="AU17" s="39" t="b">
        <v>0</v>
      </c>
      <c r="AV17" s="39" t="b">
        <v>0</v>
      </c>
      <c r="AW17" s="39" t="b">
        <v>0</v>
      </c>
      <c r="AX17" s="39" t="s">
        <v>193</v>
      </c>
      <c r="AY17" s="39" t="s">
        <v>196</v>
      </c>
      <c r="AZ17" s="39" t="s">
        <v>200</v>
      </c>
      <c r="BA17" s="39" t="s">
        <v>196</v>
      </c>
      <c r="BB17" s="39" t="s">
        <v>200</v>
      </c>
      <c r="BC17" s="39" t="s">
        <v>200</v>
      </c>
      <c r="BD17" s="39" t="s">
        <v>200</v>
      </c>
      <c r="BE17" s="39" t="s">
        <v>202</v>
      </c>
      <c r="BF17" s="39">
        <v>3000</v>
      </c>
      <c r="BG17" s="37" t="e">
        <v>#N/A</v>
      </c>
      <c r="BH17" s="39" t="s">
        <v>39</v>
      </c>
      <c r="BI17" s="39" t="e">
        <v>#N/A</v>
      </c>
      <c r="BJ17" s="37" t="e">
        <v>#N/A</v>
      </c>
      <c r="BK17" s="37" t="e">
        <v>#N/A</v>
      </c>
      <c r="BL17" s="37" t="e">
        <v>#N/A</v>
      </c>
      <c r="BM17" s="37" t="e">
        <v>#N/A</v>
      </c>
      <c r="BN17" s="37" t="e">
        <v>#N/A</v>
      </c>
      <c r="BO17" s="37" t="e">
        <v>#N/A</v>
      </c>
      <c r="BP17" s="37" t="e">
        <v>#N/A</v>
      </c>
      <c r="BQ17" s="39" t="s">
        <v>210</v>
      </c>
      <c r="BR17" s="39" t="s">
        <v>104</v>
      </c>
      <c r="BS17" s="39" t="s">
        <v>104</v>
      </c>
      <c r="BT17" s="39" t="s">
        <v>39</v>
      </c>
      <c r="BU17" s="39" t="b">
        <v>0</v>
      </c>
      <c r="BV17" s="39" t="b">
        <v>0</v>
      </c>
      <c r="BW17" s="39" t="b">
        <v>0</v>
      </c>
      <c r="BX17" s="39" t="b">
        <v>0</v>
      </c>
      <c r="BY17" s="39" t="b">
        <v>0</v>
      </c>
      <c r="BZ17" s="39" t="b">
        <v>0</v>
      </c>
      <c r="CA17" s="39" t="b">
        <v>0</v>
      </c>
      <c r="CB17" s="39" t="b">
        <v>0</v>
      </c>
      <c r="CC17" s="39" t="b">
        <v>1</v>
      </c>
      <c r="CD17" s="39" t="s">
        <v>598</v>
      </c>
      <c r="CE17" s="39" t="b">
        <v>0</v>
      </c>
      <c r="CF17" s="39" t="b">
        <v>0</v>
      </c>
      <c r="CG17" s="39" t="b">
        <v>0</v>
      </c>
      <c r="CH17" s="39" t="b">
        <v>0</v>
      </c>
      <c r="CI17" s="39" t="b">
        <v>0</v>
      </c>
      <c r="CJ17" s="39" t="b">
        <v>0</v>
      </c>
      <c r="CK17" s="39" t="b">
        <v>0</v>
      </c>
      <c r="CL17" s="39" t="b">
        <v>0</v>
      </c>
      <c r="CM17" s="39" t="b">
        <v>0</v>
      </c>
      <c r="CN17" s="39" t="s">
        <v>211</v>
      </c>
      <c r="CO17" s="57" t="s">
        <v>212</v>
      </c>
      <c r="CP17" s="39" t="s">
        <v>597</v>
      </c>
      <c r="CQ17" s="39" t="e">
        <v>#N/A</v>
      </c>
      <c r="CR17" s="39" t="s">
        <v>209</v>
      </c>
      <c r="CS17" s="37" t="e">
        <v>#N/A</v>
      </c>
      <c r="CT17" s="37" t="e">
        <v>#N/A</v>
      </c>
      <c r="CU17" s="37" t="e">
        <v>#N/A</v>
      </c>
      <c r="CV17" s="37" t="e">
        <v>#N/A</v>
      </c>
      <c r="CW17" s="39" t="s">
        <v>39</v>
      </c>
      <c r="CX17" s="39" t="b">
        <v>1</v>
      </c>
      <c r="CY17" s="39" t="b">
        <v>1</v>
      </c>
      <c r="CZ17" s="39" t="b">
        <v>1</v>
      </c>
      <c r="DA17" s="39" t="b">
        <v>0</v>
      </c>
      <c r="DB17" s="39" t="b">
        <v>1</v>
      </c>
      <c r="DC17" s="39" t="b">
        <v>1</v>
      </c>
      <c r="DD17" s="39" t="b">
        <v>1</v>
      </c>
      <c r="DE17" s="39" t="b">
        <v>1</v>
      </c>
      <c r="DF17" s="132" t="s">
        <v>1315</v>
      </c>
      <c r="DG17" s="39" t="s">
        <v>392</v>
      </c>
      <c r="DH17" s="39">
        <v>40665</v>
      </c>
      <c r="DI17" s="37" t="e">
        <v>#N/A</v>
      </c>
      <c r="DJ17" s="37" t="e">
        <v>#N/A</v>
      </c>
      <c r="DK17" s="39">
        <v>40678</v>
      </c>
      <c r="DL17" s="39" t="s">
        <v>276</v>
      </c>
      <c r="DM17" s="39" t="b">
        <f t="shared" si="0"/>
        <v>0</v>
      </c>
      <c r="DN17" s="38" t="str">
        <f t="shared" si="1"/>
        <v>4290_Indu_Z 46_ktion_5 M_100_20_F</v>
      </c>
    </row>
    <row r="18" spans="1:118" ht="15.75" customHeight="1" x14ac:dyDescent="0.25">
      <c r="A18" s="37">
        <v>13</v>
      </c>
      <c r="C18" s="37">
        <v>8805</v>
      </c>
      <c r="D18" s="132" t="s">
        <v>347</v>
      </c>
      <c r="E18" s="57" t="s">
        <v>109</v>
      </c>
      <c r="F18" s="132" t="s">
        <v>346</v>
      </c>
      <c r="G18" s="132" t="s">
        <v>263</v>
      </c>
      <c r="H18" s="132">
        <v>92637</v>
      </c>
      <c r="I18" s="39" t="s">
        <v>114</v>
      </c>
      <c r="J18" s="132" t="s">
        <v>345</v>
      </c>
      <c r="K18" s="132" t="s">
        <v>344</v>
      </c>
      <c r="L18" s="132" t="s">
        <v>343</v>
      </c>
      <c r="M18" s="132" t="s">
        <v>342</v>
      </c>
      <c r="N18" s="132" t="s">
        <v>1316</v>
      </c>
      <c r="O18" s="132" t="s">
        <v>1317</v>
      </c>
      <c r="P18" s="132" t="s">
        <v>1318</v>
      </c>
      <c r="Q18" s="132" t="s">
        <v>1319</v>
      </c>
      <c r="R18" s="37" t="e">
        <v>#N/A</v>
      </c>
      <c r="S18" s="39" t="s">
        <v>121</v>
      </c>
      <c r="T18" s="39" t="s">
        <v>118</v>
      </c>
      <c r="U18" s="40" t="e">
        <v>#N/A</v>
      </c>
      <c r="V18" s="39" t="e">
        <v>#N/A</v>
      </c>
      <c r="W18" s="39" t="e">
        <v>#N/A</v>
      </c>
      <c r="X18" s="39" t="e">
        <v>#N/A</v>
      </c>
      <c r="Y18" s="39" t="s">
        <v>341</v>
      </c>
      <c r="Z18" s="39" t="s">
        <v>148</v>
      </c>
      <c r="AA18" s="39" t="s">
        <v>158</v>
      </c>
      <c r="AB18" s="132" t="e">
        <v>#N/A</v>
      </c>
      <c r="AC18" s="132" t="s">
        <v>1320</v>
      </c>
      <c r="AD18" s="132" t="s">
        <v>263</v>
      </c>
      <c r="AE18" s="102" t="e">
        <v>#N/A</v>
      </c>
      <c r="AF18" s="102" t="e">
        <v>#N/A</v>
      </c>
      <c r="AG18" s="102" t="e">
        <v>#N/A</v>
      </c>
      <c r="AH18" s="41" t="s">
        <v>162</v>
      </c>
      <c r="AI18" s="39" t="s">
        <v>177</v>
      </c>
      <c r="AJ18" s="39" t="s">
        <v>183</v>
      </c>
      <c r="AK18" s="39" t="e">
        <v>#N/A</v>
      </c>
      <c r="AL18" s="39" t="s">
        <v>187</v>
      </c>
      <c r="AM18" s="39">
        <v>8</v>
      </c>
      <c r="AN18" s="39" t="b">
        <v>1</v>
      </c>
      <c r="AO18" s="39" t="b">
        <v>0</v>
      </c>
      <c r="AP18" s="39" t="b">
        <v>1</v>
      </c>
      <c r="AQ18" s="39" t="b">
        <v>0</v>
      </c>
      <c r="AR18" s="39" t="b">
        <v>0</v>
      </c>
      <c r="AS18" s="39" t="b">
        <v>0</v>
      </c>
      <c r="AT18" s="39" t="b">
        <v>0</v>
      </c>
      <c r="AU18" s="39" t="b">
        <v>0</v>
      </c>
      <c r="AV18" s="39" t="b">
        <v>0</v>
      </c>
      <c r="AW18" s="39" t="b">
        <v>0</v>
      </c>
      <c r="AX18" s="39" t="s">
        <v>195</v>
      </c>
      <c r="AY18" s="39" t="s">
        <v>199</v>
      </c>
      <c r="AZ18" s="39" t="s">
        <v>199</v>
      </c>
      <c r="BA18" s="39" t="s">
        <v>196</v>
      </c>
      <c r="BB18" s="37" t="e">
        <v>#N/A</v>
      </c>
      <c r="BC18" s="39" t="s">
        <v>198</v>
      </c>
      <c r="BD18" s="39" t="s">
        <v>200</v>
      </c>
      <c r="BE18" s="39" t="s">
        <v>202</v>
      </c>
      <c r="BF18" s="39" t="s">
        <v>237</v>
      </c>
      <c r="BG18" s="39" t="s">
        <v>340</v>
      </c>
      <c r="BH18" s="39" t="s">
        <v>39</v>
      </c>
      <c r="BI18" s="39" t="e">
        <v>#N/A</v>
      </c>
      <c r="BJ18" s="37" t="e">
        <v>#N/A</v>
      </c>
      <c r="BK18" s="37" t="e">
        <v>#N/A</v>
      </c>
      <c r="BL18" s="37" t="e">
        <v>#N/A</v>
      </c>
      <c r="BM18" s="37" t="e">
        <v>#N/A</v>
      </c>
      <c r="BN18" s="37" t="e">
        <v>#N/A</v>
      </c>
      <c r="BO18" s="37" t="e">
        <v>#N/A</v>
      </c>
      <c r="BP18" s="37" t="e">
        <v>#N/A</v>
      </c>
      <c r="BQ18" s="39" t="s">
        <v>209</v>
      </c>
      <c r="BR18" s="39" t="s">
        <v>104</v>
      </c>
      <c r="BS18" s="39" t="s">
        <v>209</v>
      </c>
      <c r="BT18" s="39" t="s">
        <v>33</v>
      </c>
      <c r="BU18" s="39" t="b">
        <v>0</v>
      </c>
      <c r="BV18" s="39" t="b">
        <v>0</v>
      </c>
      <c r="BW18" s="39" t="b">
        <v>0</v>
      </c>
      <c r="BX18" s="39" t="b">
        <v>0</v>
      </c>
      <c r="BY18" s="39" t="b">
        <v>0</v>
      </c>
      <c r="BZ18" s="39" t="b">
        <v>0</v>
      </c>
      <c r="CA18" s="39" t="b">
        <v>0</v>
      </c>
      <c r="CB18" s="39" t="b">
        <v>0</v>
      </c>
      <c r="CC18" s="39" t="b">
        <v>1</v>
      </c>
      <c r="CD18" s="39" t="s">
        <v>339</v>
      </c>
      <c r="CE18" s="39" t="b">
        <v>0</v>
      </c>
      <c r="CF18" s="39" t="b">
        <v>1</v>
      </c>
      <c r="CG18" s="39" t="b">
        <v>0</v>
      </c>
      <c r="CH18" s="39" t="b">
        <v>0</v>
      </c>
      <c r="CI18" s="39" t="b">
        <v>0</v>
      </c>
      <c r="CJ18" s="39" t="b">
        <v>0</v>
      </c>
      <c r="CK18" s="39" t="b">
        <v>0</v>
      </c>
      <c r="CL18" s="39" t="b">
        <v>0</v>
      </c>
      <c r="CM18" s="39" t="b">
        <v>0</v>
      </c>
      <c r="CN18" s="39" t="s">
        <v>39</v>
      </c>
      <c r="CO18" s="57" t="e">
        <v>#N/A</v>
      </c>
      <c r="CP18" s="39" t="e">
        <v>#N/A</v>
      </c>
      <c r="CQ18" s="39" t="e">
        <v>#N/A</v>
      </c>
      <c r="CR18" s="37" t="e">
        <v>#N/A</v>
      </c>
      <c r="CS18" s="37" t="e">
        <v>#N/A</v>
      </c>
      <c r="CT18" s="37" t="e">
        <v>#N/A</v>
      </c>
      <c r="CU18" s="37" t="e">
        <v>#N/A</v>
      </c>
      <c r="CV18" s="37" t="e">
        <v>#N/A</v>
      </c>
      <c r="CW18" s="37" t="e">
        <v>#N/A</v>
      </c>
      <c r="CX18" s="39" t="b">
        <v>0</v>
      </c>
      <c r="CY18" s="39" t="b">
        <v>0</v>
      </c>
      <c r="CZ18" s="39" t="b">
        <v>1</v>
      </c>
      <c r="DA18" s="39" t="b">
        <v>0</v>
      </c>
      <c r="DB18" s="39" t="b">
        <v>0</v>
      </c>
      <c r="DC18" s="39" t="b">
        <v>1</v>
      </c>
      <c r="DD18" s="39" t="b">
        <v>0</v>
      </c>
      <c r="DE18" s="39" t="b">
        <v>0</v>
      </c>
      <c r="DF18" s="132" t="s">
        <v>1321</v>
      </c>
      <c r="DG18" s="39" t="s">
        <v>338</v>
      </c>
      <c r="DH18" s="37" t="e">
        <v>#N/A</v>
      </c>
      <c r="DI18" s="37" t="e">
        <v>#N/A</v>
      </c>
      <c r="DJ18" s="39">
        <v>40667</v>
      </c>
      <c r="DK18" s="39">
        <v>40668</v>
      </c>
      <c r="DL18" s="39" t="s">
        <v>276</v>
      </c>
      <c r="DM18" s="39" t="b">
        <f t="shared" si="0"/>
        <v>1</v>
      </c>
      <c r="DN18" s="38" t="str">
        <f t="shared" si="1"/>
        <v>8805_XXXX_XXXX_andel_5 M_100_bi_W</v>
      </c>
    </row>
    <row r="19" spans="1:118" ht="15.75" customHeight="1" x14ac:dyDescent="0.25">
      <c r="A19" s="37">
        <v>14</v>
      </c>
      <c r="C19" s="37">
        <v>7042</v>
      </c>
      <c r="D19" s="132" t="s">
        <v>431</v>
      </c>
      <c r="E19" s="57" t="s">
        <v>109</v>
      </c>
      <c r="F19" s="132" t="s">
        <v>430</v>
      </c>
      <c r="G19" s="132" t="s">
        <v>429</v>
      </c>
      <c r="H19" s="132">
        <v>92724</v>
      </c>
      <c r="I19" s="39" t="s">
        <v>114</v>
      </c>
      <c r="J19" s="132" t="s">
        <v>428</v>
      </c>
      <c r="K19" s="132" t="s">
        <v>427</v>
      </c>
      <c r="L19" s="132" t="e">
        <v>#N/A</v>
      </c>
      <c r="M19" s="132" t="s">
        <v>426</v>
      </c>
      <c r="N19" s="132" t="s">
        <v>1322</v>
      </c>
      <c r="O19" s="132" t="s">
        <v>1323</v>
      </c>
      <c r="P19" s="132" t="s">
        <v>1324</v>
      </c>
      <c r="Q19" s="132" t="s">
        <v>1325</v>
      </c>
      <c r="R19" s="39" t="s">
        <v>117</v>
      </c>
      <c r="S19" s="39" t="e">
        <v>#N/A</v>
      </c>
      <c r="T19" s="39" t="e">
        <v>#N/A</v>
      </c>
      <c r="U19" s="40" t="s">
        <v>130</v>
      </c>
      <c r="V19" s="39" t="e">
        <v>#N/A</v>
      </c>
      <c r="W19" s="39" t="e">
        <v>#N/A</v>
      </c>
      <c r="X19" s="39" t="e">
        <v>#N/A</v>
      </c>
      <c r="Y19" s="37" t="e">
        <v>#N/A</v>
      </c>
      <c r="Z19" s="39" t="s">
        <v>150</v>
      </c>
      <c r="AA19" s="39" t="s">
        <v>158</v>
      </c>
      <c r="AB19" s="132" t="s">
        <v>1326</v>
      </c>
      <c r="AC19" s="132" t="s">
        <v>1327</v>
      </c>
      <c r="AD19" s="132" t="s">
        <v>1328</v>
      </c>
      <c r="AE19" s="102" t="e">
        <v>#N/A</v>
      </c>
      <c r="AF19" s="102" t="e">
        <v>#N/A</v>
      </c>
      <c r="AG19" s="102" t="e">
        <v>#N/A</v>
      </c>
      <c r="AH19" s="41" t="s">
        <v>161</v>
      </c>
      <c r="AI19" s="39" t="s">
        <v>174</v>
      </c>
      <c r="AJ19" s="39" t="s">
        <v>185</v>
      </c>
      <c r="AK19" s="39">
        <v>514</v>
      </c>
      <c r="AL19" s="39" t="s">
        <v>187</v>
      </c>
      <c r="AM19" s="39">
        <v>50</v>
      </c>
      <c r="AN19" s="39" t="b">
        <v>0</v>
      </c>
      <c r="AO19" s="39" t="b">
        <v>0</v>
      </c>
      <c r="AP19" s="39" t="b">
        <v>0</v>
      </c>
      <c r="AQ19" s="39" t="b">
        <v>0</v>
      </c>
      <c r="AR19" s="39" t="b">
        <v>0</v>
      </c>
      <c r="AS19" s="39" t="b">
        <v>0</v>
      </c>
      <c r="AT19" s="39" t="b">
        <v>1</v>
      </c>
      <c r="AU19" s="39" t="b">
        <v>1</v>
      </c>
      <c r="AV19" s="39" t="b">
        <v>0</v>
      </c>
      <c r="AW19" s="39" t="b">
        <v>0</v>
      </c>
      <c r="AX19" s="39" t="s">
        <v>195</v>
      </c>
      <c r="AY19" s="39" t="s">
        <v>196</v>
      </c>
      <c r="AZ19" s="39" t="s">
        <v>200</v>
      </c>
      <c r="BA19" s="39" t="s">
        <v>200</v>
      </c>
      <c r="BB19" s="39" t="s">
        <v>200</v>
      </c>
      <c r="BC19" s="39" t="s">
        <v>200</v>
      </c>
      <c r="BD19" s="39" t="s">
        <v>200</v>
      </c>
      <c r="BE19" s="39" t="s">
        <v>206</v>
      </c>
      <c r="BF19" s="37" t="e">
        <v>#N/A</v>
      </c>
      <c r="BG19" s="37" t="e">
        <v>#N/A</v>
      </c>
      <c r="BH19" s="37" t="e">
        <v>#N/A</v>
      </c>
      <c r="BI19" s="39" t="s">
        <v>207</v>
      </c>
      <c r="BJ19" s="37" t="e">
        <v>#N/A</v>
      </c>
      <c r="BK19" s="37" t="e">
        <v>#N/A</v>
      </c>
      <c r="BL19" s="37" t="e">
        <v>#N/A</v>
      </c>
      <c r="BM19" s="37" t="e">
        <v>#N/A</v>
      </c>
      <c r="BN19" s="37" t="e">
        <v>#N/A</v>
      </c>
      <c r="BO19" s="37" t="e">
        <v>#N/A</v>
      </c>
      <c r="BP19" s="37" t="e">
        <v>#N/A</v>
      </c>
      <c r="BQ19" s="39" t="s">
        <v>210</v>
      </c>
      <c r="BR19" s="39" t="s">
        <v>104</v>
      </c>
      <c r="BS19" s="39" t="s">
        <v>208</v>
      </c>
      <c r="BT19" s="39" t="s">
        <v>33</v>
      </c>
      <c r="BU19" s="39" t="b">
        <v>0</v>
      </c>
      <c r="BV19" s="39" t="b">
        <v>0</v>
      </c>
      <c r="BW19" s="39" t="b">
        <v>0</v>
      </c>
      <c r="BX19" s="39" t="b">
        <v>0</v>
      </c>
      <c r="BY19" s="39" t="b">
        <v>0</v>
      </c>
      <c r="BZ19" s="39" t="b">
        <v>0</v>
      </c>
      <c r="CA19" s="39" t="b">
        <v>0</v>
      </c>
      <c r="CB19" s="39" t="b">
        <v>0</v>
      </c>
      <c r="CC19" s="39" t="b">
        <v>1</v>
      </c>
      <c r="CD19" s="39" t="s">
        <v>425</v>
      </c>
      <c r="CE19" s="39" t="b">
        <v>0</v>
      </c>
      <c r="CF19" s="39" t="b">
        <v>0</v>
      </c>
      <c r="CG19" s="39" t="b">
        <v>0</v>
      </c>
      <c r="CH19" s="39" t="b">
        <v>0</v>
      </c>
      <c r="CI19" s="39" t="b">
        <v>0</v>
      </c>
      <c r="CJ19" s="39" t="b">
        <v>0</v>
      </c>
      <c r="CK19" s="39" t="b">
        <v>0</v>
      </c>
      <c r="CL19" s="39" t="b">
        <v>0</v>
      </c>
      <c r="CM19" s="39" t="b">
        <v>0</v>
      </c>
      <c r="CN19" s="39" t="s">
        <v>39</v>
      </c>
      <c r="CO19" s="57" t="e">
        <v>#N/A</v>
      </c>
      <c r="CP19" s="39" t="e">
        <v>#N/A</v>
      </c>
      <c r="CQ19" s="39" t="e">
        <v>#N/A</v>
      </c>
      <c r="CR19" s="37" t="e">
        <v>#N/A</v>
      </c>
      <c r="CS19" s="37" t="e">
        <v>#N/A</v>
      </c>
      <c r="CT19" s="37" t="e">
        <v>#N/A</v>
      </c>
      <c r="CU19" s="37" t="e">
        <v>#N/A</v>
      </c>
      <c r="CV19" s="37" t="e">
        <v>#N/A</v>
      </c>
      <c r="CW19" s="37" t="e">
        <v>#N/A</v>
      </c>
      <c r="CX19" s="39" t="b">
        <v>0</v>
      </c>
      <c r="CY19" s="39" t="b">
        <v>0</v>
      </c>
      <c r="CZ19" s="39" t="b">
        <v>0</v>
      </c>
      <c r="DA19" s="39" t="b">
        <v>0</v>
      </c>
      <c r="DB19" s="39" t="b">
        <v>0</v>
      </c>
      <c r="DC19" s="39" t="b">
        <v>0</v>
      </c>
      <c r="DD19" s="39" t="b">
        <v>0</v>
      </c>
      <c r="DE19" s="39" t="b">
        <v>0</v>
      </c>
      <c r="DF19" s="132" t="e">
        <v>#N/A</v>
      </c>
      <c r="DG19" s="39" t="s">
        <v>424</v>
      </c>
      <c r="DH19" s="39">
        <v>40681</v>
      </c>
      <c r="DI19" s="37" t="e">
        <v>#N/A</v>
      </c>
      <c r="DJ19" s="39">
        <v>40682</v>
      </c>
      <c r="DK19" s="39">
        <v>40688</v>
      </c>
      <c r="DL19" s="37" t="s">
        <v>348</v>
      </c>
      <c r="DM19" s="39" t="b">
        <f t="shared" si="0"/>
        <v>0</v>
      </c>
      <c r="DN19" s="38" t="str">
        <f t="shared" si="1"/>
        <v>7042_Auto_Z 27_ktion_200_500_bi_F</v>
      </c>
    </row>
    <row r="20" spans="1:118" ht="15.75" customHeight="1" x14ac:dyDescent="0.25">
      <c r="A20" s="37">
        <v>15</v>
      </c>
      <c r="C20" s="37">
        <v>8860</v>
      </c>
      <c r="D20" s="132" t="s">
        <v>326</v>
      </c>
      <c r="E20" s="57" t="s">
        <v>110</v>
      </c>
      <c r="F20" s="132" t="s">
        <v>325</v>
      </c>
      <c r="G20" s="132" t="s">
        <v>324</v>
      </c>
      <c r="H20" s="132">
        <v>92439</v>
      </c>
      <c r="I20" s="39" t="s">
        <v>114</v>
      </c>
      <c r="J20" s="132" t="s">
        <v>323</v>
      </c>
      <c r="K20" s="132" t="s">
        <v>322</v>
      </c>
      <c r="L20" s="132" t="s">
        <v>321</v>
      </c>
      <c r="M20" s="132" t="s">
        <v>320</v>
      </c>
      <c r="N20" s="132" t="s">
        <v>1329</v>
      </c>
      <c r="O20" s="132" t="s">
        <v>1330</v>
      </c>
      <c r="P20" s="132" t="s">
        <v>1331</v>
      </c>
      <c r="Q20" s="132" t="s">
        <v>1332</v>
      </c>
      <c r="R20" s="39" t="s">
        <v>118</v>
      </c>
      <c r="S20" s="39" t="e">
        <v>#N/A</v>
      </c>
      <c r="T20" s="39" t="e">
        <v>#N/A</v>
      </c>
      <c r="U20" s="40" t="s">
        <v>319</v>
      </c>
      <c r="V20" s="39" t="e">
        <v>#N/A</v>
      </c>
      <c r="W20" s="39" t="e">
        <v>#N/A</v>
      </c>
      <c r="X20" s="39" t="e">
        <v>#N/A</v>
      </c>
      <c r="Y20" s="39" t="s">
        <v>318</v>
      </c>
      <c r="Z20" s="39" t="s">
        <v>148</v>
      </c>
      <c r="AA20" s="39" t="s">
        <v>157</v>
      </c>
      <c r="AB20" s="132" t="e">
        <v>#N/A</v>
      </c>
      <c r="AC20" s="132" t="e">
        <v>#N/A</v>
      </c>
      <c r="AD20" s="102" t="e">
        <v>#N/A</v>
      </c>
      <c r="AE20" s="102" t="e">
        <v>#N/A</v>
      </c>
      <c r="AF20" s="102" t="e">
        <v>#N/A</v>
      </c>
      <c r="AG20" s="102" t="e">
        <v>#N/A</v>
      </c>
      <c r="AH20" s="41" t="s">
        <v>161</v>
      </c>
      <c r="AI20" s="39" t="s">
        <v>177</v>
      </c>
      <c r="AJ20" s="39" t="s">
        <v>182</v>
      </c>
      <c r="AK20" s="39" t="e">
        <v>#N/A</v>
      </c>
      <c r="AL20" s="39" t="s">
        <v>187</v>
      </c>
      <c r="AM20" s="39" t="e">
        <v>#N/A</v>
      </c>
      <c r="AN20" s="39" t="b">
        <v>0</v>
      </c>
      <c r="AO20" s="39" t="b">
        <v>0</v>
      </c>
      <c r="AP20" s="39" t="b">
        <v>0</v>
      </c>
      <c r="AQ20" s="39" t="b">
        <v>0</v>
      </c>
      <c r="AR20" s="39" t="b">
        <v>0</v>
      </c>
      <c r="AS20" s="39" t="b">
        <v>1</v>
      </c>
      <c r="AT20" s="39" t="b">
        <v>0</v>
      </c>
      <c r="AU20" s="39" t="b">
        <v>0</v>
      </c>
      <c r="AV20" s="39" t="b">
        <v>0</v>
      </c>
      <c r="AW20" s="39" t="b">
        <v>0</v>
      </c>
      <c r="AX20" s="39" t="s">
        <v>193</v>
      </c>
      <c r="AY20" s="39" t="s">
        <v>196</v>
      </c>
      <c r="AZ20" s="39" t="s">
        <v>196</v>
      </c>
      <c r="BA20" s="39" t="s">
        <v>200</v>
      </c>
      <c r="BB20" s="39" t="s">
        <v>200</v>
      </c>
      <c r="BC20" s="39" t="s">
        <v>196</v>
      </c>
      <c r="BD20" s="39" t="s">
        <v>200</v>
      </c>
      <c r="BE20" s="39" t="s">
        <v>201</v>
      </c>
      <c r="BF20" s="37" t="e">
        <v>#N/A</v>
      </c>
      <c r="BG20" s="37" t="e">
        <v>#N/A</v>
      </c>
      <c r="BH20" s="39" t="s">
        <v>33</v>
      </c>
      <c r="BI20" s="39" t="s">
        <v>202</v>
      </c>
      <c r="BJ20" s="37" t="e">
        <v>#N/A</v>
      </c>
      <c r="BK20" s="37" t="e">
        <v>#N/A</v>
      </c>
      <c r="BL20" s="39" t="s">
        <v>33</v>
      </c>
      <c r="BM20" s="39" t="s">
        <v>205</v>
      </c>
      <c r="BN20" s="37" t="e">
        <v>#N/A</v>
      </c>
      <c r="BO20" s="37" t="e">
        <v>#N/A</v>
      </c>
      <c r="BP20" s="39" t="s">
        <v>33</v>
      </c>
      <c r="BQ20" s="39" t="s">
        <v>210</v>
      </c>
      <c r="BR20" s="37" t="e">
        <v>#N/A</v>
      </c>
      <c r="BS20" s="39" t="s">
        <v>208</v>
      </c>
      <c r="BT20" s="39" t="s">
        <v>33</v>
      </c>
      <c r="BU20" s="39" t="b">
        <v>0</v>
      </c>
      <c r="BV20" s="39" t="b">
        <v>0</v>
      </c>
      <c r="BW20" s="39" t="b">
        <v>0</v>
      </c>
      <c r="BX20" s="39" t="b">
        <v>0</v>
      </c>
      <c r="BY20" s="39" t="b">
        <v>0</v>
      </c>
      <c r="BZ20" s="39" t="b">
        <v>0</v>
      </c>
      <c r="CA20" s="39" t="b">
        <v>0</v>
      </c>
      <c r="CB20" s="39" t="b">
        <v>0</v>
      </c>
      <c r="CC20" s="39" t="b">
        <v>1</v>
      </c>
      <c r="CD20" s="39" t="s">
        <v>317</v>
      </c>
      <c r="CE20" s="39" t="b">
        <v>0</v>
      </c>
      <c r="CF20" s="39" t="b">
        <v>0</v>
      </c>
      <c r="CG20" s="39" t="b">
        <v>0</v>
      </c>
      <c r="CH20" s="39" t="b">
        <v>0</v>
      </c>
      <c r="CI20" s="39" t="b">
        <v>0</v>
      </c>
      <c r="CJ20" s="39" t="b">
        <v>0</v>
      </c>
      <c r="CK20" s="39" t="b">
        <v>0</v>
      </c>
      <c r="CL20" s="39" t="b">
        <v>0</v>
      </c>
      <c r="CM20" s="39" t="b">
        <v>0</v>
      </c>
      <c r="CN20" s="39" t="s">
        <v>211</v>
      </c>
      <c r="CO20" s="57" t="s">
        <v>212</v>
      </c>
      <c r="CP20" s="37" t="e">
        <v>#N/A</v>
      </c>
      <c r="CQ20" s="39" t="s">
        <v>163</v>
      </c>
      <c r="CR20" s="37" t="e">
        <v>#N/A</v>
      </c>
      <c r="CS20" s="37" t="e">
        <v>#N/A</v>
      </c>
      <c r="CT20" s="37" t="e">
        <v>#N/A</v>
      </c>
      <c r="CU20" s="37" t="e">
        <v>#N/A</v>
      </c>
      <c r="CV20" s="37" t="e">
        <v>#N/A</v>
      </c>
      <c r="CW20" s="39" t="s">
        <v>216</v>
      </c>
      <c r="CX20" s="39" t="b">
        <v>0</v>
      </c>
      <c r="CY20" s="39" t="b">
        <v>0</v>
      </c>
      <c r="CZ20" s="39" t="b">
        <v>0</v>
      </c>
      <c r="DA20" s="39" t="b">
        <v>0</v>
      </c>
      <c r="DB20" s="39" t="b">
        <v>1</v>
      </c>
      <c r="DC20" s="39" t="b">
        <v>0</v>
      </c>
      <c r="DD20" s="39" t="b">
        <v>1</v>
      </c>
      <c r="DE20" s="39" t="b">
        <v>0</v>
      </c>
      <c r="DF20" s="132" t="s">
        <v>1333</v>
      </c>
      <c r="DG20" s="39" t="s">
        <v>316</v>
      </c>
      <c r="DH20" s="39">
        <v>40693</v>
      </c>
      <c r="DI20" s="39">
        <v>40717</v>
      </c>
      <c r="DJ20" s="39">
        <v>40693</v>
      </c>
      <c r="DK20" s="39">
        <v>40717</v>
      </c>
      <c r="DL20" s="39" t="s">
        <v>231</v>
      </c>
      <c r="DM20" s="39" t="b">
        <f t="shared" si="0"/>
        <v>0</v>
      </c>
      <c r="DN20" s="38" t="str">
        <f t="shared" si="1"/>
        <v>8860_Indu_Z 41_ktion_5 M_50 _bi_F</v>
      </c>
    </row>
    <row r="21" spans="1:118" ht="15.75" customHeight="1" x14ac:dyDescent="0.25">
      <c r="A21" s="37">
        <v>16</v>
      </c>
      <c r="C21" s="37">
        <v>5954</v>
      </c>
      <c r="D21" s="132" t="s">
        <v>487</v>
      </c>
      <c r="E21" s="57" t="s">
        <v>109</v>
      </c>
      <c r="F21" s="132" t="s">
        <v>486</v>
      </c>
      <c r="G21" s="132" t="s">
        <v>485</v>
      </c>
      <c r="H21" s="132">
        <v>92431</v>
      </c>
      <c r="I21" s="39" t="s">
        <v>114</v>
      </c>
      <c r="J21" s="132" t="s">
        <v>481</v>
      </c>
      <c r="K21" s="132" t="s">
        <v>484</v>
      </c>
      <c r="L21" s="132" t="s">
        <v>483</v>
      </c>
      <c r="M21" s="132" t="s">
        <v>482</v>
      </c>
      <c r="N21" s="132" t="s">
        <v>1334</v>
      </c>
      <c r="O21" s="132" t="s">
        <v>1335</v>
      </c>
      <c r="P21" s="132" t="s">
        <v>481</v>
      </c>
      <c r="Q21" s="132" t="s">
        <v>1336</v>
      </c>
      <c r="R21" s="37" t="e">
        <v>#N/A</v>
      </c>
      <c r="S21" s="39" t="e">
        <v>#N/A</v>
      </c>
      <c r="T21" s="39" t="e">
        <v>#N/A</v>
      </c>
      <c r="U21" s="40" t="e">
        <v>#N/A</v>
      </c>
      <c r="V21" s="39" t="e">
        <v>#N/A</v>
      </c>
      <c r="W21" s="39" t="e">
        <v>#N/A</v>
      </c>
      <c r="X21" s="39" t="e">
        <v>#N/A</v>
      </c>
      <c r="Y21" s="37" t="e">
        <v>#N/A</v>
      </c>
      <c r="Z21" s="39" t="s">
        <v>148</v>
      </c>
      <c r="AA21" s="39" t="s">
        <v>156</v>
      </c>
      <c r="AB21" s="132" t="e">
        <v>#N/A</v>
      </c>
      <c r="AC21" s="132" t="e">
        <v>#N/A</v>
      </c>
      <c r="AD21" s="102" t="e">
        <v>#N/A</v>
      </c>
      <c r="AE21" s="102" t="e">
        <v>#N/A</v>
      </c>
      <c r="AF21" s="102" t="e">
        <v>#N/A</v>
      </c>
      <c r="AG21" s="102" t="e">
        <v>#N/A</v>
      </c>
      <c r="AH21" s="41" t="s">
        <v>154</v>
      </c>
      <c r="AI21" s="39" t="s">
        <v>173</v>
      </c>
      <c r="AJ21" s="39" t="s">
        <v>181</v>
      </c>
      <c r="AK21" s="39" t="e">
        <v>#N/A</v>
      </c>
      <c r="AL21" s="39" t="s">
        <v>187</v>
      </c>
      <c r="AM21" s="39" t="e">
        <v>#N/A</v>
      </c>
      <c r="AN21" s="39" t="b">
        <v>0</v>
      </c>
      <c r="AO21" s="39" t="b">
        <v>0</v>
      </c>
      <c r="AP21" s="39" t="b">
        <v>0</v>
      </c>
      <c r="AQ21" s="39" t="b">
        <v>0</v>
      </c>
      <c r="AR21" s="39" t="b">
        <v>0</v>
      </c>
      <c r="AS21" s="39" t="b">
        <v>0</v>
      </c>
      <c r="AT21" s="39" t="b">
        <v>0</v>
      </c>
      <c r="AU21" s="39" t="b">
        <v>0</v>
      </c>
      <c r="AV21" s="39" t="b">
        <v>0</v>
      </c>
      <c r="AW21" s="39" t="b">
        <v>0</v>
      </c>
      <c r="AX21" s="39" t="s">
        <v>195</v>
      </c>
      <c r="AY21" s="39" t="s">
        <v>196</v>
      </c>
      <c r="AZ21" s="39" t="s">
        <v>199</v>
      </c>
      <c r="BA21" s="39" t="s">
        <v>199</v>
      </c>
      <c r="BB21" s="39" t="s">
        <v>199</v>
      </c>
      <c r="BC21" s="39" t="s">
        <v>196</v>
      </c>
      <c r="BD21" s="39" t="s">
        <v>199</v>
      </c>
      <c r="BE21" s="39" t="s">
        <v>202</v>
      </c>
      <c r="BF21" s="39" t="s">
        <v>480</v>
      </c>
      <c r="BG21" s="39" t="s">
        <v>479</v>
      </c>
      <c r="BH21" s="39" t="s">
        <v>477</v>
      </c>
      <c r="BI21" s="39" t="s">
        <v>206</v>
      </c>
      <c r="BJ21" s="39" t="s">
        <v>478</v>
      </c>
      <c r="BK21" s="39" t="e">
        <v>#REF!</v>
      </c>
      <c r="BL21" s="39" t="s">
        <v>477</v>
      </c>
      <c r="BM21" s="37" t="e">
        <v>#N/A</v>
      </c>
      <c r="BN21" s="37" t="e">
        <v>#N/A</v>
      </c>
      <c r="BO21" s="37" t="e">
        <v>#N/A</v>
      </c>
      <c r="BP21" s="37" t="e">
        <v>#N/A</v>
      </c>
      <c r="BQ21" s="39" t="s">
        <v>209</v>
      </c>
      <c r="BR21" s="39" t="s">
        <v>104</v>
      </c>
      <c r="BS21" s="39" t="s">
        <v>208</v>
      </c>
      <c r="BT21" s="39" t="s">
        <v>33</v>
      </c>
      <c r="BU21" s="39" t="b">
        <v>0</v>
      </c>
      <c r="BV21" s="39" t="b">
        <v>0</v>
      </c>
      <c r="BW21" s="39" t="b">
        <v>0</v>
      </c>
      <c r="BX21" s="39" t="b">
        <v>0</v>
      </c>
      <c r="BY21" s="39" t="b">
        <v>0</v>
      </c>
      <c r="BZ21" s="39" t="b">
        <v>0</v>
      </c>
      <c r="CA21" s="39" t="b">
        <v>0</v>
      </c>
      <c r="CB21" s="39" t="b">
        <v>0</v>
      </c>
      <c r="CC21" s="39" t="b">
        <v>1</v>
      </c>
      <c r="CD21" s="39" t="s">
        <v>476</v>
      </c>
      <c r="CE21" s="39" t="b">
        <v>0</v>
      </c>
      <c r="CF21" s="39" t="b">
        <v>0</v>
      </c>
      <c r="CG21" s="39" t="b">
        <v>0</v>
      </c>
      <c r="CH21" s="39" t="b">
        <v>0</v>
      </c>
      <c r="CI21" s="39" t="b">
        <v>0</v>
      </c>
      <c r="CJ21" s="39" t="b">
        <v>0</v>
      </c>
      <c r="CK21" s="39" t="b">
        <v>0</v>
      </c>
      <c r="CL21" s="39" t="b">
        <v>0</v>
      </c>
      <c r="CM21" s="39" t="b">
        <v>0</v>
      </c>
      <c r="CN21" s="39" t="s">
        <v>211</v>
      </c>
      <c r="CO21" s="57" t="s">
        <v>212</v>
      </c>
      <c r="CP21" s="37" t="e">
        <v>#N/A</v>
      </c>
      <c r="CQ21" s="39" t="e">
        <v>#N/A</v>
      </c>
      <c r="CR21" s="39" t="s">
        <v>104</v>
      </c>
      <c r="CS21" s="37" t="e">
        <v>#N/A</v>
      </c>
      <c r="CT21" s="37" t="e">
        <v>#N/A</v>
      </c>
      <c r="CU21" s="37" t="e">
        <v>#N/A</v>
      </c>
      <c r="CV21" s="37" t="e">
        <v>#N/A</v>
      </c>
      <c r="CW21" s="39" t="s">
        <v>39</v>
      </c>
      <c r="CX21" s="39" t="b">
        <v>1</v>
      </c>
      <c r="CY21" s="39" t="b">
        <v>1</v>
      </c>
      <c r="CZ21" s="39" t="b">
        <v>0</v>
      </c>
      <c r="DA21" s="39" t="b">
        <v>0</v>
      </c>
      <c r="DB21" s="39" t="b">
        <v>1</v>
      </c>
      <c r="DC21" s="39" t="b">
        <v>0</v>
      </c>
      <c r="DD21" s="39" t="b">
        <v>0</v>
      </c>
      <c r="DE21" s="39" t="b">
        <v>0</v>
      </c>
      <c r="DF21" s="132" t="s">
        <v>1337</v>
      </c>
      <c r="DG21" s="39" t="s">
        <v>475</v>
      </c>
      <c r="DH21" s="39">
        <v>40665</v>
      </c>
      <c r="DI21" s="39">
        <v>40687</v>
      </c>
      <c r="DJ21" s="39">
        <v>40687</v>
      </c>
      <c r="DK21" s="39">
        <v>40688</v>
      </c>
      <c r="DL21" s="39" t="s">
        <v>266</v>
      </c>
      <c r="DM21" s="39" t="b">
        <f t="shared" si="0"/>
        <v>0</v>
      </c>
      <c r="DN21" s="38" t="str">
        <f t="shared" si="1"/>
        <v>5954_XXXX_XXXX_stige_bis_20 _bi_F</v>
      </c>
    </row>
    <row r="22" spans="1:118" ht="15.75" customHeight="1" x14ac:dyDescent="0.25">
      <c r="A22" s="37">
        <v>17</v>
      </c>
      <c r="C22" s="37">
        <v>1448</v>
      </c>
      <c r="D22" s="132" t="s">
        <v>799</v>
      </c>
      <c r="E22" s="57" t="s">
        <v>110</v>
      </c>
      <c r="F22" s="132" t="s">
        <v>798</v>
      </c>
      <c r="G22" s="132" t="s">
        <v>797</v>
      </c>
      <c r="H22" s="132">
        <v>95615</v>
      </c>
      <c r="I22" s="39" t="s">
        <v>114</v>
      </c>
      <c r="J22" s="132">
        <v>92315080</v>
      </c>
      <c r="K22" s="132">
        <v>923161300</v>
      </c>
      <c r="L22" s="132" t="e">
        <v>#N/A</v>
      </c>
      <c r="M22" s="132" t="s">
        <v>796</v>
      </c>
      <c r="N22" s="132" t="s">
        <v>1338</v>
      </c>
      <c r="O22" s="132" t="s">
        <v>1339</v>
      </c>
      <c r="P22" s="132">
        <v>9231508222</v>
      </c>
      <c r="Q22" s="132" t="e">
        <v>#N/A</v>
      </c>
      <c r="R22" s="39" t="s">
        <v>122</v>
      </c>
      <c r="S22" s="39" t="e">
        <v>#N/A</v>
      </c>
      <c r="T22" s="39" t="e">
        <v>#N/A</v>
      </c>
      <c r="U22" s="40" t="s">
        <v>133</v>
      </c>
      <c r="V22" s="39" t="e">
        <v>#N/A</v>
      </c>
      <c r="W22" s="39" t="e">
        <v>#N/A</v>
      </c>
      <c r="X22" s="39" t="e">
        <v>#N/A</v>
      </c>
      <c r="Y22" s="39" t="e">
        <v>#N/A</v>
      </c>
      <c r="Z22" s="39" t="s">
        <v>148</v>
      </c>
      <c r="AA22" s="39" t="s">
        <v>159</v>
      </c>
      <c r="AB22" s="132" t="e">
        <v>#N/A</v>
      </c>
      <c r="AC22" s="132" t="e">
        <v>#N/A</v>
      </c>
      <c r="AD22" s="102" t="e">
        <v>#N/A</v>
      </c>
      <c r="AE22" s="132" t="s">
        <v>1340</v>
      </c>
      <c r="AF22" s="132" t="s">
        <v>1341</v>
      </c>
      <c r="AG22" s="132">
        <v>93413</v>
      </c>
      <c r="AH22" s="41" t="s">
        <v>162</v>
      </c>
      <c r="AI22" s="39" t="s">
        <v>177</v>
      </c>
      <c r="AJ22" s="39" t="s">
        <v>183</v>
      </c>
      <c r="AK22" s="39">
        <v>125</v>
      </c>
      <c r="AL22" s="39" t="s">
        <v>187</v>
      </c>
      <c r="AM22" s="39" t="e">
        <v>#N/A</v>
      </c>
      <c r="AN22" s="39" t="b">
        <v>1</v>
      </c>
      <c r="AO22" s="39" t="b">
        <v>0</v>
      </c>
      <c r="AP22" s="39" t="b">
        <v>0</v>
      </c>
      <c r="AQ22" s="39" t="b">
        <v>0</v>
      </c>
      <c r="AR22" s="39" t="b">
        <v>0</v>
      </c>
      <c r="AS22" s="39" t="b">
        <v>1</v>
      </c>
      <c r="AT22" s="39" t="b">
        <v>0</v>
      </c>
      <c r="AU22" s="39" t="b">
        <v>0</v>
      </c>
      <c r="AV22" s="39" t="b">
        <v>0</v>
      </c>
      <c r="AW22" s="39" t="b">
        <v>0</v>
      </c>
      <c r="AX22" s="39" t="s">
        <v>195</v>
      </c>
      <c r="AY22" s="39" t="s">
        <v>200</v>
      </c>
      <c r="AZ22" s="37" t="e">
        <v>#N/A</v>
      </c>
      <c r="BA22" s="37" t="e">
        <v>#N/A</v>
      </c>
      <c r="BB22" s="37" t="e">
        <v>#N/A</v>
      </c>
      <c r="BC22" s="37" t="e">
        <v>#N/A</v>
      </c>
      <c r="BD22" s="37" t="e">
        <v>#N/A</v>
      </c>
      <c r="BE22" s="39" t="s">
        <v>202</v>
      </c>
      <c r="BF22" s="39">
        <v>6000</v>
      </c>
      <c r="BG22" s="37" t="e">
        <v>#N/A</v>
      </c>
      <c r="BH22" s="39" t="s">
        <v>33</v>
      </c>
      <c r="BI22" s="39" t="s">
        <v>206</v>
      </c>
      <c r="BJ22" s="37" t="e">
        <v>#N/A</v>
      </c>
      <c r="BK22" s="37" t="e">
        <v>#N/A</v>
      </c>
      <c r="BL22" s="39" t="s">
        <v>33</v>
      </c>
      <c r="BM22" s="39" t="s">
        <v>207</v>
      </c>
      <c r="BN22" s="37" t="e">
        <v>#N/A</v>
      </c>
      <c r="BO22" s="37" t="e">
        <v>#N/A</v>
      </c>
      <c r="BP22" s="39" t="s">
        <v>33</v>
      </c>
      <c r="BQ22" s="39" t="s">
        <v>208</v>
      </c>
      <c r="BR22" s="37" t="e">
        <v>#N/A</v>
      </c>
      <c r="BS22" s="39" t="s">
        <v>208</v>
      </c>
      <c r="BT22" s="39" t="s">
        <v>33</v>
      </c>
      <c r="BU22" s="39" t="b">
        <v>0</v>
      </c>
      <c r="BV22" s="39" t="b">
        <v>0</v>
      </c>
      <c r="BW22" s="39" t="b">
        <v>0</v>
      </c>
      <c r="BX22" s="39" t="b">
        <v>0</v>
      </c>
      <c r="BY22" s="39" t="b">
        <v>0</v>
      </c>
      <c r="BZ22" s="39" t="b">
        <v>0</v>
      </c>
      <c r="CA22" s="39" t="b">
        <v>0</v>
      </c>
      <c r="CB22" s="39" t="b">
        <v>0</v>
      </c>
      <c r="CC22" s="39" t="b">
        <v>1</v>
      </c>
      <c r="CD22" s="39" t="s">
        <v>795</v>
      </c>
      <c r="CE22" s="39" t="b">
        <v>0</v>
      </c>
      <c r="CF22" s="39" t="b">
        <v>0</v>
      </c>
      <c r="CG22" s="39" t="b">
        <v>0</v>
      </c>
      <c r="CH22" s="39" t="b">
        <v>0</v>
      </c>
      <c r="CI22" s="39" t="b">
        <v>0</v>
      </c>
      <c r="CJ22" s="39" t="b">
        <v>0</v>
      </c>
      <c r="CK22" s="39" t="b">
        <v>0</v>
      </c>
      <c r="CL22" s="39" t="b">
        <v>0</v>
      </c>
      <c r="CM22" s="39" t="b">
        <v>1</v>
      </c>
      <c r="CN22" s="39" t="s">
        <v>39</v>
      </c>
      <c r="CO22" s="57" t="e">
        <v>#N/A</v>
      </c>
      <c r="CP22" s="39" t="e">
        <v>#N/A</v>
      </c>
      <c r="CQ22" s="39" t="e">
        <v>#N/A</v>
      </c>
      <c r="CR22" s="37" t="e">
        <v>#N/A</v>
      </c>
      <c r="CS22" s="37" t="e">
        <v>#N/A</v>
      </c>
      <c r="CT22" s="37" t="e">
        <v>#N/A</v>
      </c>
      <c r="CU22" s="37" t="e">
        <v>#N/A</v>
      </c>
      <c r="CV22" s="37" t="e">
        <v>#N/A</v>
      </c>
      <c r="CW22" s="37" t="e">
        <v>#N/A</v>
      </c>
      <c r="CX22" s="39" t="b">
        <v>0</v>
      </c>
      <c r="CY22" s="39" t="b">
        <v>0</v>
      </c>
      <c r="CZ22" s="39" t="b">
        <v>0</v>
      </c>
      <c r="DA22" s="39" t="b">
        <v>0</v>
      </c>
      <c r="DB22" s="39" t="b">
        <v>0</v>
      </c>
      <c r="DC22" s="39" t="b">
        <v>0</v>
      </c>
      <c r="DD22" s="39" t="b">
        <v>0</v>
      </c>
      <c r="DE22" s="39" t="b">
        <v>0</v>
      </c>
      <c r="DF22" s="132" t="e">
        <v>#N/A</v>
      </c>
      <c r="DG22" s="39" t="s">
        <v>467</v>
      </c>
      <c r="DH22" s="37" t="e">
        <v>#N/A</v>
      </c>
      <c r="DI22" s="37" t="e">
        <v>#N/A</v>
      </c>
      <c r="DJ22" s="37" t="e">
        <v>#N/A</v>
      </c>
      <c r="DK22" s="39">
        <v>40708</v>
      </c>
      <c r="DL22" s="39" t="s">
        <v>266</v>
      </c>
      <c r="DM22" s="39" t="b">
        <f t="shared" si="0"/>
        <v>1</v>
      </c>
      <c r="DN22" s="38" t="str">
        <f t="shared" si="1"/>
        <v>1448_Einz_Z 47_andel_5 M_100_bi_W</v>
      </c>
    </row>
    <row r="23" spans="1:118" x14ac:dyDescent="0.25">
      <c r="A23" s="37">
        <v>18</v>
      </c>
      <c r="C23" s="37">
        <v>3161</v>
      </c>
      <c r="D23" s="102" t="s">
        <v>667</v>
      </c>
      <c r="E23" s="58" t="s">
        <v>110</v>
      </c>
      <c r="F23" s="102" t="s">
        <v>666</v>
      </c>
      <c r="G23" s="102" t="s">
        <v>665</v>
      </c>
      <c r="H23" s="102">
        <v>92242</v>
      </c>
      <c r="I23" s="37" t="s">
        <v>114</v>
      </c>
      <c r="J23" s="102" t="s">
        <v>664</v>
      </c>
      <c r="K23" s="102" t="s">
        <v>663</v>
      </c>
      <c r="L23" s="102" t="s">
        <v>662</v>
      </c>
      <c r="M23" s="102" t="s">
        <v>661</v>
      </c>
      <c r="N23" s="102" t="s">
        <v>1342</v>
      </c>
      <c r="O23" s="134" t="e">
        <v>#N/A</v>
      </c>
      <c r="P23" s="132" t="e">
        <v>#N/A</v>
      </c>
      <c r="Q23" s="132" t="e">
        <v>#N/A</v>
      </c>
      <c r="R23" s="37" t="e">
        <v>#N/A</v>
      </c>
      <c r="S23" s="37" t="s">
        <v>120</v>
      </c>
      <c r="T23" s="39" t="e">
        <v>#N/A</v>
      </c>
      <c r="U23" s="40" t="e">
        <v>#N/A</v>
      </c>
      <c r="V23" s="39" t="e">
        <v>#N/A</v>
      </c>
      <c r="W23" s="39" t="e">
        <v>#N/A</v>
      </c>
      <c r="X23" s="39" t="e">
        <v>#N/A</v>
      </c>
      <c r="Y23" s="37" t="e">
        <v>#N/A</v>
      </c>
      <c r="Z23" s="37" t="s">
        <v>148</v>
      </c>
      <c r="AA23" s="37" t="s">
        <v>156</v>
      </c>
      <c r="AB23" s="132" t="e">
        <v>#N/A</v>
      </c>
      <c r="AC23" s="132" t="e">
        <v>#N/A</v>
      </c>
      <c r="AD23" s="102" t="e">
        <v>#N/A</v>
      </c>
      <c r="AE23" s="102" t="e">
        <v>#N/A</v>
      </c>
      <c r="AF23" s="102" t="e">
        <v>#N/A</v>
      </c>
      <c r="AG23" s="102" t="e">
        <v>#N/A</v>
      </c>
      <c r="AH23" s="41" t="s">
        <v>161</v>
      </c>
      <c r="AI23" s="37" t="s">
        <v>177</v>
      </c>
      <c r="AJ23" s="37" t="s">
        <v>184</v>
      </c>
      <c r="AK23" s="39" t="e">
        <v>#N/A</v>
      </c>
      <c r="AL23" s="37" t="s">
        <v>188</v>
      </c>
      <c r="AM23" s="39" t="e">
        <v>#N/A</v>
      </c>
      <c r="AN23" s="37" t="b">
        <v>1</v>
      </c>
      <c r="AO23" s="37" t="b">
        <v>0</v>
      </c>
      <c r="AP23" s="37" t="b">
        <v>0</v>
      </c>
      <c r="AQ23" s="37" t="b">
        <v>0</v>
      </c>
      <c r="AR23" s="37" t="b">
        <v>0</v>
      </c>
      <c r="AS23" s="37" t="b">
        <v>1</v>
      </c>
      <c r="AT23" s="37" t="b">
        <v>0</v>
      </c>
      <c r="AU23" s="37" t="b">
        <v>0</v>
      </c>
      <c r="AV23" s="37" t="b">
        <v>0</v>
      </c>
      <c r="AW23" s="37" t="b">
        <v>0</v>
      </c>
      <c r="AX23" s="37" t="s">
        <v>33</v>
      </c>
      <c r="AY23" s="37" t="s">
        <v>196</v>
      </c>
      <c r="AZ23" s="37" t="s">
        <v>196</v>
      </c>
      <c r="BA23" s="37" t="s">
        <v>196</v>
      </c>
      <c r="BB23" s="37" t="s">
        <v>199</v>
      </c>
      <c r="BC23" s="37" t="s">
        <v>196</v>
      </c>
      <c r="BD23" s="37" t="s">
        <v>199</v>
      </c>
      <c r="BE23" s="37" t="e">
        <v>#N/A</v>
      </c>
      <c r="BF23" s="37" t="e">
        <v>#N/A</v>
      </c>
      <c r="BG23" s="37" t="e">
        <v>#N/A</v>
      </c>
      <c r="BH23" s="37" t="e">
        <v>#N/A</v>
      </c>
      <c r="BI23" s="39" t="e">
        <v>#N/A</v>
      </c>
      <c r="BJ23" s="37" t="e">
        <v>#N/A</v>
      </c>
      <c r="BK23" s="37" t="e">
        <v>#N/A</v>
      </c>
      <c r="BL23" s="37" t="e">
        <v>#N/A</v>
      </c>
      <c r="BM23" s="37" t="e">
        <v>#N/A</v>
      </c>
      <c r="BN23" s="37" t="e">
        <v>#N/A</v>
      </c>
      <c r="BO23" s="37" t="e">
        <v>#N/A</v>
      </c>
      <c r="BP23" s="37" t="e">
        <v>#N/A</v>
      </c>
      <c r="BQ23" s="37" t="s">
        <v>209</v>
      </c>
      <c r="BR23" s="37" t="s">
        <v>208</v>
      </c>
      <c r="BS23" s="37" t="s">
        <v>209</v>
      </c>
      <c r="BT23" s="37" t="s">
        <v>33</v>
      </c>
      <c r="BU23" s="37" t="b">
        <v>0</v>
      </c>
      <c r="BV23" s="37" t="b">
        <v>0</v>
      </c>
      <c r="BW23" s="37" t="b">
        <v>0</v>
      </c>
      <c r="BX23" s="37" t="b">
        <v>0</v>
      </c>
      <c r="BY23" s="37" t="b">
        <v>0</v>
      </c>
      <c r="BZ23" s="37" t="b">
        <v>0</v>
      </c>
      <c r="CA23" s="37" t="b">
        <v>0</v>
      </c>
      <c r="CB23" s="37" t="b">
        <v>0</v>
      </c>
      <c r="CC23" s="37" t="b">
        <v>1</v>
      </c>
      <c r="CD23" s="37" t="s">
        <v>660</v>
      </c>
      <c r="CE23" s="37" t="b">
        <v>1</v>
      </c>
      <c r="CF23" s="37" t="b">
        <v>1</v>
      </c>
      <c r="CG23" s="37" t="b">
        <v>0</v>
      </c>
      <c r="CH23" s="37" t="b">
        <v>0</v>
      </c>
      <c r="CI23" s="37" t="b">
        <v>0</v>
      </c>
      <c r="CJ23" s="37" t="b">
        <v>0</v>
      </c>
      <c r="CK23" s="37" t="b">
        <v>0</v>
      </c>
      <c r="CL23" s="37" t="b">
        <v>0</v>
      </c>
      <c r="CM23" s="37" t="b">
        <v>0</v>
      </c>
      <c r="CN23" s="37" t="s">
        <v>211</v>
      </c>
      <c r="CO23" s="58" t="s">
        <v>213</v>
      </c>
      <c r="CP23" s="37" t="e">
        <v>#N/A</v>
      </c>
      <c r="CQ23" s="39" t="e">
        <v>#N/A</v>
      </c>
      <c r="CR23" s="37" t="s">
        <v>215</v>
      </c>
      <c r="CS23" s="37" t="e">
        <v>#N/A</v>
      </c>
      <c r="CT23" s="37" t="e">
        <v>#N/A</v>
      </c>
      <c r="CU23" s="37" t="e">
        <v>#N/A</v>
      </c>
      <c r="CV23" s="37" t="e">
        <v>#N/A</v>
      </c>
      <c r="CW23" s="37" t="s">
        <v>217</v>
      </c>
      <c r="CX23" s="37" t="b">
        <v>0</v>
      </c>
      <c r="CY23" s="37" t="b">
        <v>1</v>
      </c>
      <c r="CZ23" s="37" t="b">
        <v>0</v>
      </c>
      <c r="DA23" s="37" t="b">
        <v>0</v>
      </c>
      <c r="DB23" s="37" t="b">
        <v>1</v>
      </c>
      <c r="DC23" s="37" t="b">
        <v>0</v>
      </c>
      <c r="DD23" s="37" t="b">
        <v>1</v>
      </c>
      <c r="DE23" s="37" t="b">
        <v>0</v>
      </c>
      <c r="DF23" s="132" t="e">
        <v>#N/A</v>
      </c>
      <c r="DG23" s="37" t="s">
        <v>659</v>
      </c>
      <c r="DH23" s="37" t="e">
        <v>#N/A</v>
      </c>
      <c r="DI23" s="37" t="e">
        <v>#N/A</v>
      </c>
      <c r="DJ23" s="37">
        <v>40688</v>
      </c>
      <c r="DK23" s="37">
        <v>40710</v>
      </c>
      <c r="DL23" s="37" t="s">
        <v>246</v>
      </c>
      <c r="DM23" s="39" t="b">
        <f t="shared" si="0"/>
        <v>1</v>
      </c>
      <c r="DN23" s="38" t="str">
        <f t="shared" si="1"/>
        <v>3161_XXXX_XXXX_ktion_5 M_200_10_W</v>
      </c>
    </row>
    <row r="24" spans="1:118" ht="15.75" customHeight="1" x14ac:dyDescent="0.25">
      <c r="A24" s="37">
        <v>19</v>
      </c>
      <c r="C24" s="37">
        <v>9186</v>
      </c>
      <c r="D24" s="132" t="s">
        <v>295</v>
      </c>
      <c r="E24" s="57" t="s">
        <v>109</v>
      </c>
      <c r="F24" s="132" t="s">
        <v>294</v>
      </c>
      <c r="G24" s="132" t="s">
        <v>293</v>
      </c>
      <c r="H24" s="132">
        <v>92421</v>
      </c>
      <c r="I24" s="39" t="s">
        <v>114</v>
      </c>
      <c r="J24" s="132">
        <v>943174630</v>
      </c>
      <c r="K24" s="132">
        <v>9431746320</v>
      </c>
      <c r="L24" s="132" t="s">
        <v>292</v>
      </c>
      <c r="M24" s="132" t="s">
        <v>291</v>
      </c>
      <c r="N24" s="132" t="s">
        <v>1343</v>
      </c>
      <c r="O24" s="132" t="s">
        <v>1344</v>
      </c>
      <c r="P24" s="132">
        <v>9431746310</v>
      </c>
      <c r="Q24" s="132" t="s">
        <v>1345</v>
      </c>
      <c r="R24" s="39" t="s">
        <v>118</v>
      </c>
      <c r="S24" s="39" t="s">
        <v>119</v>
      </c>
      <c r="T24" s="39" t="e">
        <v>#N/A</v>
      </c>
      <c r="U24" s="40" t="s">
        <v>128</v>
      </c>
      <c r="V24" s="39" t="e">
        <v>#N/A</v>
      </c>
      <c r="W24" s="39" t="e">
        <v>#N/A</v>
      </c>
      <c r="X24" s="39" t="e">
        <v>#N/A</v>
      </c>
      <c r="Y24" s="39" t="s">
        <v>290</v>
      </c>
      <c r="Z24" s="39" t="s">
        <v>148</v>
      </c>
      <c r="AA24" s="39" t="s">
        <v>156</v>
      </c>
      <c r="AB24" s="132" t="e">
        <v>#N/A</v>
      </c>
      <c r="AC24" s="132" t="e">
        <v>#N/A</v>
      </c>
      <c r="AD24" s="102" t="e">
        <v>#N/A</v>
      </c>
      <c r="AE24" s="102" t="e">
        <v>#N/A</v>
      </c>
      <c r="AF24" s="102" t="e">
        <v>#N/A</v>
      </c>
      <c r="AG24" s="102" t="e">
        <v>#N/A</v>
      </c>
      <c r="AH24" s="41" t="s">
        <v>161</v>
      </c>
      <c r="AI24" s="39" t="e">
        <v>#N/A</v>
      </c>
      <c r="AJ24" s="39" t="e">
        <v>#N/A</v>
      </c>
      <c r="AK24" s="39">
        <v>25</v>
      </c>
      <c r="AL24" s="39" t="s">
        <v>187</v>
      </c>
      <c r="AM24" s="39" t="e">
        <v>#N/A</v>
      </c>
      <c r="AN24" s="39" t="b">
        <v>0</v>
      </c>
      <c r="AO24" s="39" t="b">
        <v>0</v>
      </c>
      <c r="AP24" s="39" t="b">
        <v>0</v>
      </c>
      <c r="AQ24" s="39" t="b">
        <v>0</v>
      </c>
      <c r="AR24" s="39" t="b">
        <v>0</v>
      </c>
      <c r="AS24" s="39" t="b">
        <v>0</v>
      </c>
      <c r="AT24" s="39" t="b">
        <v>1</v>
      </c>
      <c r="AU24" s="39" t="b">
        <v>1</v>
      </c>
      <c r="AV24" s="39" t="b">
        <v>0</v>
      </c>
      <c r="AW24" s="39" t="b">
        <v>0</v>
      </c>
      <c r="AX24" s="39" t="s">
        <v>195</v>
      </c>
      <c r="AY24" s="37" t="e">
        <v>#N/A</v>
      </c>
      <c r="AZ24" s="37" t="e">
        <v>#N/A</v>
      </c>
      <c r="BA24" s="37" t="e">
        <v>#N/A</v>
      </c>
      <c r="BB24" s="37" t="e">
        <v>#N/A</v>
      </c>
      <c r="BC24" s="37" t="e">
        <v>#N/A</v>
      </c>
      <c r="BD24" s="37" t="e">
        <v>#N/A</v>
      </c>
      <c r="BE24" s="39" t="s">
        <v>201</v>
      </c>
      <c r="BF24" s="37" t="e">
        <v>#N/A</v>
      </c>
      <c r="BG24" s="37" t="e">
        <v>#N/A</v>
      </c>
      <c r="BH24" s="37" t="e">
        <v>#N/A</v>
      </c>
      <c r="BI24" s="39" t="e">
        <v>#N/A</v>
      </c>
      <c r="BJ24" s="37" t="e">
        <v>#N/A</v>
      </c>
      <c r="BK24" s="37" t="e">
        <v>#N/A</v>
      </c>
      <c r="BL24" s="37" t="e">
        <v>#N/A</v>
      </c>
      <c r="BM24" s="37" t="e">
        <v>#N/A</v>
      </c>
      <c r="BN24" s="37" t="e">
        <v>#N/A</v>
      </c>
      <c r="BO24" s="37" t="e">
        <v>#N/A</v>
      </c>
      <c r="BP24" s="37" t="e">
        <v>#N/A</v>
      </c>
      <c r="BQ24" s="39" t="s">
        <v>209</v>
      </c>
      <c r="BR24" s="37" t="e">
        <v>#N/A</v>
      </c>
      <c r="BS24" s="37" t="e">
        <v>#N/A</v>
      </c>
      <c r="BT24" s="39" t="s">
        <v>33</v>
      </c>
      <c r="BU24" s="39" t="b">
        <v>0</v>
      </c>
      <c r="BV24" s="39" t="b">
        <v>0</v>
      </c>
      <c r="BW24" s="39" t="b">
        <v>0</v>
      </c>
      <c r="BX24" s="39" t="b">
        <v>0</v>
      </c>
      <c r="BY24" s="39" t="b">
        <v>0</v>
      </c>
      <c r="BZ24" s="39" t="b">
        <v>0</v>
      </c>
      <c r="CA24" s="39" t="b">
        <v>0</v>
      </c>
      <c r="CB24" s="39" t="b">
        <v>0</v>
      </c>
      <c r="CC24" s="39" t="b">
        <v>1</v>
      </c>
      <c r="CD24" s="39" t="e">
        <v>#N/A</v>
      </c>
      <c r="CE24" s="39" t="b">
        <v>0</v>
      </c>
      <c r="CF24" s="39" t="b">
        <v>0</v>
      </c>
      <c r="CG24" s="39" t="b">
        <v>0</v>
      </c>
      <c r="CH24" s="39" t="b">
        <v>0</v>
      </c>
      <c r="CI24" s="39" t="b">
        <v>0</v>
      </c>
      <c r="CJ24" s="39" t="b">
        <v>0</v>
      </c>
      <c r="CK24" s="39" t="b">
        <v>0</v>
      </c>
      <c r="CL24" s="39" t="b">
        <v>0</v>
      </c>
      <c r="CM24" s="39" t="b">
        <v>0</v>
      </c>
      <c r="CN24" s="39" t="s">
        <v>39</v>
      </c>
      <c r="CO24" s="57" t="e">
        <v>#N/A</v>
      </c>
      <c r="CP24" s="39" t="e">
        <v>#N/A</v>
      </c>
      <c r="CQ24" s="39" t="e">
        <v>#N/A</v>
      </c>
      <c r="CR24" s="37" t="e">
        <v>#N/A</v>
      </c>
      <c r="CS24" s="37" t="e">
        <v>#N/A</v>
      </c>
      <c r="CT24" s="37" t="e">
        <v>#N/A</v>
      </c>
      <c r="CU24" s="37" t="e">
        <v>#N/A</v>
      </c>
      <c r="CV24" s="37" t="e">
        <v>#N/A</v>
      </c>
      <c r="CW24" s="37" t="e">
        <v>#N/A</v>
      </c>
      <c r="CX24" s="39" t="b">
        <v>1</v>
      </c>
      <c r="CY24" s="39" t="b">
        <v>1</v>
      </c>
      <c r="CZ24" s="39" t="b">
        <v>0</v>
      </c>
      <c r="DA24" s="39" t="b">
        <v>0</v>
      </c>
      <c r="DB24" s="39" t="b">
        <v>0</v>
      </c>
      <c r="DC24" s="39" t="b">
        <v>0</v>
      </c>
      <c r="DD24" s="39" t="b">
        <v>0</v>
      </c>
      <c r="DE24" s="39" t="b">
        <v>0</v>
      </c>
      <c r="DF24" s="132" t="e">
        <v>#N/A</v>
      </c>
      <c r="DG24" s="39" t="s">
        <v>289</v>
      </c>
      <c r="DH24" s="37" t="e">
        <v>#N/A</v>
      </c>
      <c r="DI24" s="37" t="e">
        <v>#N/A</v>
      </c>
      <c r="DJ24" s="37" t="e">
        <v>#N/A</v>
      </c>
      <c r="DK24" s="39">
        <v>40708</v>
      </c>
      <c r="DL24" s="39" t="s">
        <v>266</v>
      </c>
      <c r="DM24" s="39" t="b">
        <f t="shared" si="0"/>
        <v>0</v>
      </c>
      <c r="DN24" s="38" t="str">
        <f t="shared" si="1"/>
        <v>9186_Indu_Z 25_ktion_XXX_XXX_bi_F</v>
      </c>
    </row>
    <row r="25" spans="1:118" ht="15.75" customHeight="1" x14ac:dyDescent="0.25">
      <c r="A25" s="37">
        <v>20</v>
      </c>
      <c r="C25" s="37">
        <v>2848</v>
      </c>
      <c r="D25" s="132" t="s">
        <v>696</v>
      </c>
      <c r="E25" s="57" t="s">
        <v>109</v>
      </c>
      <c r="F25" s="132" t="s">
        <v>695</v>
      </c>
      <c r="G25" s="132" t="s">
        <v>694</v>
      </c>
      <c r="H25" s="132">
        <v>95652</v>
      </c>
      <c r="I25" s="39" t="s">
        <v>114</v>
      </c>
      <c r="J25" s="132" t="s">
        <v>690</v>
      </c>
      <c r="K25" s="132" t="s">
        <v>693</v>
      </c>
      <c r="L25" s="132" t="s">
        <v>692</v>
      </c>
      <c r="M25" s="132" t="s">
        <v>691</v>
      </c>
      <c r="N25" s="132" t="e">
        <v>#REF!</v>
      </c>
      <c r="O25" s="132" t="s">
        <v>1346</v>
      </c>
      <c r="P25" s="132" t="s">
        <v>690</v>
      </c>
      <c r="Q25" s="132" t="s">
        <v>1347</v>
      </c>
      <c r="R25" s="39" t="s">
        <v>118</v>
      </c>
      <c r="S25" s="39" t="e">
        <v>#N/A</v>
      </c>
      <c r="T25" s="39" t="e">
        <v>#N/A</v>
      </c>
      <c r="U25" s="40" t="s">
        <v>128</v>
      </c>
      <c r="V25" s="39" t="s">
        <v>132</v>
      </c>
      <c r="W25" s="39" t="e">
        <v>#N/A</v>
      </c>
      <c r="X25" s="39" t="e">
        <v>#N/A</v>
      </c>
      <c r="Y25" s="39" t="s">
        <v>689</v>
      </c>
      <c r="Z25" s="39" t="s">
        <v>150</v>
      </c>
      <c r="AA25" s="39" t="s">
        <v>157</v>
      </c>
      <c r="AB25" s="132" t="e">
        <v>#N/A</v>
      </c>
      <c r="AC25" s="132" t="e">
        <v>#N/A</v>
      </c>
      <c r="AD25" s="102" t="e">
        <v>#N/A</v>
      </c>
      <c r="AE25" s="102" t="e">
        <v>#N/A</v>
      </c>
      <c r="AF25" s="102" t="e">
        <v>#N/A</v>
      </c>
      <c r="AG25" s="102" t="e">
        <v>#N/A</v>
      </c>
      <c r="AH25" s="41" t="s">
        <v>161</v>
      </c>
      <c r="AI25" s="39" t="s">
        <v>177</v>
      </c>
      <c r="AJ25" s="39" t="s">
        <v>182</v>
      </c>
      <c r="AK25" s="39" t="e">
        <v>#N/A</v>
      </c>
      <c r="AL25" s="39" t="s">
        <v>189</v>
      </c>
      <c r="AM25" s="39" t="e">
        <v>#N/A</v>
      </c>
      <c r="AN25" s="39" t="b">
        <v>0</v>
      </c>
      <c r="AO25" s="39" t="b">
        <v>0</v>
      </c>
      <c r="AP25" s="39" t="b">
        <v>0</v>
      </c>
      <c r="AQ25" s="39" t="b">
        <v>0</v>
      </c>
      <c r="AR25" s="39" t="b">
        <v>0</v>
      </c>
      <c r="AS25" s="39" t="b">
        <v>0</v>
      </c>
      <c r="AT25" s="39" t="b">
        <v>1</v>
      </c>
      <c r="AU25" s="39" t="b">
        <v>1</v>
      </c>
      <c r="AV25" s="39" t="b">
        <v>0</v>
      </c>
      <c r="AW25" s="39" t="b">
        <v>0</v>
      </c>
      <c r="AX25" s="39" t="s">
        <v>195</v>
      </c>
      <c r="AY25" s="39" t="s">
        <v>200</v>
      </c>
      <c r="AZ25" s="39" t="s">
        <v>200</v>
      </c>
      <c r="BA25" s="37" t="e">
        <v>#N/A</v>
      </c>
      <c r="BB25" s="39" t="s">
        <v>196</v>
      </c>
      <c r="BC25" s="39" t="s">
        <v>200</v>
      </c>
      <c r="BD25" s="39" t="s">
        <v>200</v>
      </c>
      <c r="BE25" s="39" t="s">
        <v>202</v>
      </c>
      <c r="BF25" s="37" t="e">
        <v>#N/A</v>
      </c>
      <c r="BG25" s="37" t="e">
        <v>#N/A</v>
      </c>
      <c r="BH25" s="39" t="s">
        <v>33</v>
      </c>
      <c r="BI25" s="39" t="e">
        <v>#N/A</v>
      </c>
      <c r="BJ25" s="37" t="e">
        <v>#N/A</v>
      </c>
      <c r="BK25" s="37" t="e">
        <v>#N/A</v>
      </c>
      <c r="BL25" s="37" t="e">
        <v>#N/A</v>
      </c>
      <c r="BM25" s="37" t="e">
        <v>#N/A</v>
      </c>
      <c r="BN25" s="37" t="e">
        <v>#N/A</v>
      </c>
      <c r="BO25" s="37" t="e">
        <v>#N/A</v>
      </c>
      <c r="BP25" s="37" t="e">
        <v>#N/A</v>
      </c>
      <c r="BQ25" s="39" t="s">
        <v>209</v>
      </c>
      <c r="BR25" s="39" t="s">
        <v>208</v>
      </c>
      <c r="BS25" s="39" t="s">
        <v>209</v>
      </c>
      <c r="BT25" s="39" t="s">
        <v>39</v>
      </c>
      <c r="BU25" s="39" t="b">
        <v>1</v>
      </c>
      <c r="BV25" s="39" t="b">
        <v>1</v>
      </c>
      <c r="BW25" s="39" t="b">
        <v>0</v>
      </c>
      <c r="BX25" s="39" t="b">
        <v>1</v>
      </c>
      <c r="BY25" s="39" t="b">
        <v>1</v>
      </c>
      <c r="BZ25" s="39" t="b">
        <v>1</v>
      </c>
      <c r="CA25" s="39" t="b">
        <v>0</v>
      </c>
      <c r="CB25" s="39" t="b">
        <v>0</v>
      </c>
      <c r="CC25" s="39" t="b">
        <v>0</v>
      </c>
      <c r="CD25" s="39" t="e">
        <v>#N/A</v>
      </c>
      <c r="CE25" s="39" t="b">
        <v>1</v>
      </c>
      <c r="CF25" s="39" t="b">
        <v>0</v>
      </c>
      <c r="CG25" s="39" t="b">
        <v>0</v>
      </c>
      <c r="CH25" s="39" t="b">
        <v>1</v>
      </c>
      <c r="CI25" s="39" t="b">
        <v>1</v>
      </c>
      <c r="CJ25" s="39" t="b">
        <v>0</v>
      </c>
      <c r="CK25" s="39" t="b">
        <v>1</v>
      </c>
      <c r="CL25" s="39" t="b">
        <v>1</v>
      </c>
      <c r="CM25" s="39" t="b">
        <v>0</v>
      </c>
      <c r="CN25" s="39" t="s">
        <v>211</v>
      </c>
      <c r="CO25" s="57" t="s">
        <v>212</v>
      </c>
      <c r="CP25" s="37" t="e">
        <v>#N/A</v>
      </c>
      <c r="CQ25" s="39" t="e">
        <v>#N/A</v>
      </c>
      <c r="CR25" s="37" t="e">
        <v>#N/A</v>
      </c>
      <c r="CS25" s="37" t="e">
        <v>#N/A</v>
      </c>
      <c r="CT25" s="37" t="e">
        <v>#N/A</v>
      </c>
      <c r="CU25" s="37" t="e">
        <v>#N/A</v>
      </c>
      <c r="CV25" s="37" t="e">
        <v>#N/A</v>
      </c>
      <c r="CW25" s="39" t="s">
        <v>39</v>
      </c>
      <c r="CX25" s="39" t="b">
        <v>1</v>
      </c>
      <c r="CY25" s="39" t="b">
        <v>0</v>
      </c>
      <c r="CZ25" s="39" t="b">
        <v>0</v>
      </c>
      <c r="DA25" s="39" t="b">
        <v>0</v>
      </c>
      <c r="DB25" s="39" t="b">
        <v>1</v>
      </c>
      <c r="DC25" s="39" t="b">
        <v>1</v>
      </c>
      <c r="DD25" s="39" t="b">
        <v>0</v>
      </c>
      <c r="DE25" s="39" t="b">
        <v>1</v>
      </c>
      <c r="DF25" s="132" t="e">
        <v>#N/A</v>
      </c>
      <c r="DG25" s="39" t="s">
        <v>277</v>
      </c>
      <c r="DH25" s="37" t="e">
        <v>#N/A</v>
      </c>
      <c r="DI25" s="37" t="e">
        <v>#N/A</v>
      </c>
      <c r="DJ25" s="37" t="e">
        <v>#N/A</v>
      </c>
      <c r="DK25" s="39">
        <v>40709</v>
      </c>
      <c r="DL25" s="39" t="s">
        <v>276</v>
      </c>
      <c r="DM25" s="39" t="b">
        <f t="shared" si="0"/>
        <v>1</v>
      </c>
      <c r="DN25" s="38" t="str">
        <f t="shared" si="1"/>
        <v>2848_Indu_Z 25_ktion_5 M_50 _20_W</v>
      </c>
    </row>
    <row r="26" spans="1:118" ht="15.75" customHeight="1" x14ac:dyDescent="0.25">
      <c r="A26" s="37">
        <v>21</v>
      </c>
      <c r="C26" s="37">
        <v>6636</v>
      </c>
      <c r="D26" s="132" t="s">
        <v>446</v>
      </c>
      <c r="E26" s="57" t="s">
        <v>109</v>
      </c>
      <c r="F26" s="132" t="s">
        <v>445</v>
      </c>
      <c r="G26" s="132" t="s">
        <v>263</v>
      </c>
      <c r="H26" s="132">
        <v>92637</v>
      </c>
      <c r="I26" s="39" t="s">
        <v>114</v>
      </c>
      <c r="J26" s="132" t="s">
        <v>444</v>
      </c>
      <c r="K26" s="132" t="s">
        <v>443</v>
      </c>
      <c r="L26" s="132" t="s">
        <v>442</v>
      </c>
      <c r="M26" s="132" t="s">
        <v>441</v>
      </c>
      <c r="N26" s="132" t="s">
        <v>1348</v>
      </c>
      <c r="O26" s="132" t="s">
        <v>1349</v>
      </c>
      <c r="P26" s="132" t="s">
        <v>1350</v>
      </c>
      <c r="Q26" s="132" t="s">
        <v>1351</v>
      </c>
      <c r="R26" s="39" t="s">
        <v>119</v>
      </c>
      <c r="S26" s="39" t="s">
        <v>120</v>
      </c>
      <c r="T26" s="39" t="e">
        <v>#N/A</v>
      </c>
      <c r="U26" s="40" t="s">
        <v>137</v>
      </c>
      <c r="V26" s="39" t="e">
        <v>#N/A</v>
      </c>
      <c r="W26" s="39" t="e">
        <v>#N/A</v>
      </c>
      <c r="X26" s="39" t="e">
        <v>#N/A</v>
      </c>
      <c r="Y26" s="39" t="s">
        <v>440</v>
      </c>
      <c r="Z26" s="39" t="e">
        <v>#N/A</v>
      </c>
      <c r="AA26" s="39" t="s">
        <v>157</v>
      </c>
      <c r="AB26" s="132" t="s">
        <v>1352</v>
      </c>
      <c r="AC26" s="132" t="s">
        <v>1353</v>
      </c>
      <c r="AD26" s="132" t="s">
        <v>1354</v>
      </c>
      <c r="AE26" s="102" t="e">
        <v>#N/A</v>
      </c>
      <c r="AF26" s="102" t="e">
        <v>#N/A</v>
      </c>
      <c r="AG26" s="102" t="e">
        <v>#N/A</v>
      </c>
      <c r="AH26" s="41" t="s">
        <v>163</v>
      </c>
      <c r="AI26" s="39" t="e">
        <v>#N/A</v>
      </c>
      <c r="AJ26" s="39" t="s">
        <v>182</v>
      </c>
      <c r="AK26" s="39">
        <v>90</v>
      </c>
      <c r="AL26" s="39" t="s">
        <v>192</v>
      </c>
      <c r="AM26" s="39">
        <v>90</v>
      </c>
      <c r="AN26" s="39" t="b">
        <v>0</v>
      </c>
      <c r="AO26" s="39" t="b">
        <v>0</v>
      </c>
      <c r="AP26" s="39" t="b">
        <v>0</v>
      </c>
      <c r="AQ26" s="39" t="b">
        <v>0</v>
      </c>
      <c r="AR26" s="39" t="b">
        <v>0</v>
      </c>
      <c r="AS26" s="39" t="b">
        <v>0</v>
      </c>
      <c r="AT26" s="39" t="b">
        <v>1</v>
      </c>
      <c r="AU26" s="39" t="b">
        <v>0</v>
      </c>
      <c r="AV26" s="39" t="b">
        <v>0</v>
      </c>
      <c r="AW26" s="39" t="b">
        <v>0</v>
      </c>
      <c r="AX26" s="39" t="e">
        <v>#N/A</v>
      </c>
      <c r="AY26" s="37" t="e">
        <v>#N/A</v>
      </c>
      <c r="AZ26" s="37" t="e">
        <v>#N/A</v>
      </c>
      <c r="BA26" s="37" t="e">
        <v>#N/A</v>
      </c>
      <c r="BB26" s="37" t="e">
        <v>#N/A</v>
      </c>
      <c r="BC26" s="37" t="e">
        <v>#N/A</v>
      </c>
      <c r="BD26" s="72" t="e">
        <v>#N/A</v>
      </c>
      <c r="BE26" s="39" t="s">
        <v>249</v>
      </c>
      <c r="BF26" s="72" t="e">
        <v>#N/A</v>
      </c>
      <c r="BG26" s="72" t="e">
        <v>#N/A</v>
      </c>
      <c r="BH26" s="39" t="s">
        <v>33</v>
      </c>
      <c r="BI26" s="39" t="e">
        <v>#N/A</v>
      </c>
      <c r="BJ26" s="72" t="e">
        <v>#N/A</v>
      </c>
      <c r="BK26" s="72" t="e">
        <v>#N/A</v>
      </c>
      <c r="BL26" s="72" t="e">
        <v>#N/A</v>
      </c>
      <c r="BM26" s="37" t="e">
        <v>#N/A</v>
      </c>
      <c r="BN26" s="72" t="e">
        <v>#N/A</v>
      </c>
      <c r="BO26" s="72" t="e">
        <v>#N/A</v>
      </c>
      <c r="BP26" s="72" t="e">
        <v>#N/A</v>
      </c>
      <c r="BQ26" s="72" t="e">
        <v>#N/A</v>
      </c>
      <c r="BR26" s="72" t="e">
        <v>#N/A</v>
      </c>
      <c r="BS26" s="72" t="e">
        <v>#N/A</v>
      </c>
      <c r="BT26" s="72" t="e">
        <v>#N/A</v>
      </c>
      <c r="BU26" s="39" t="b">
        <v>0</v>
      </c>
      <c r="BV26" s="39" t="b">
        <v>0</v>
      </c>
      <c r="BW26" s="39" t="b">
        <v>0</v>
      </c>
      <c r="BX26" s="39" t="b">
        <v>0</v>
      </c>
      <c r="BY26" s="39" t="b">
        <v>0</v>
      </c>
      <c r="BZ26" s="39" t="b">
        <v>0</v>
      </c>
      <c r="CA26" s="39" t="b">
        <v>0</v>
      </c>
      <c r="CB26" s="39" t="b">
        <v>0</v>
      </c>
      <c r="CC26" s="39" t="b">
        <v>0</v>
      </c>
      <c r="CD26" s="39" t="e">
        <v>#N/A</v>
      </c>
      <c r="CE26" s="39" t="b">
        <v>0</v>
      </c>
      <c r="CF26" s="39" t="b">
        <v>0</v>
      </c>
      <c r="CG26" s="39" t="b">
        <v>0</v>
      </c>
      <c r="CH26" s="39" t="b">
        <v>0</v>
      </c>
      <c r="CI26" s="39" t="b">
        <v>0</v>
      </c>
      <c r="CJ26" s="39" t="b">
        <v>0</v>
      </c>
      <c r="CK26" s="39" t="b">
        <v>0</v>
      </c>
      <c r="CL26" s="39" t="b">
        <v>0</v>
      </c>
      <c r="CM26" s="39" t="b">
        <v>0</v>
      </c>
      <c r="CN26" s="39" t="e">
        <v>#N/A</v>
      </c>
      <c r="CO26" s="57" t="e">
        <v>#N/A</v>
      </c>
      <c r="CP26" s="39" t="e">
        <v>#N/A</v>
      </c>
      <c r="CQ26" s="39" t="e">
        <v>#N/A</v>
      </c>
      <c r="CR26" s="72" t="e">
        <v>#N/A</v>
      </c>
      <c r="CS26" s="72" t="e">
        <v>#N/A</v>
      </c>
      <c r="CT26" s="72" t="e">
        <v>#N/A</v>
      </c>
      <c r="CU26" s="72" t="e">
        <v>#N/A</v>
      </c>
      <c r="CV26" s="72" t="e">
        <v>#N/A</v>
      </c>
      <c r="CW26" s="72" t="e">
        <v>#N/A</v>
      </c>
      <c r="CX26" s="39" t="b">
        <v>0</v>
      </c>
      <c r="CY26" s="39" t="b">
        <v>1</v>
      </c>
      <c r="CZ26" s="39" t="b">
        <v>0</v>
      </c>
      <c r="DA26" s="39" t="b">
        <v>0</v>
      </c>
      <c r="DB26" s="39" t="b">
        <v>0</v>
      </c>
      <c r="DC26" s="39" t="b">
        <v>0</v>
      </c>
      <c r="DD26" s="39" t="b">
        <v>0</v>
      </c>
      <c r="DE26" s="39" t="b">
        <v>0</v>
      </c>
      <c r="DF26" s="132" t="e">
        <v>#N/A</v>
      </c>
      <c r="DG26" s="72" t="e">
        <v>#N/A</v>
      </c>
      <c r="DH26" s="72" t="e">
        <v>#N/A</v>
      </c>
      <c r="DI26" s="72" t="e">
        <v>#N/A</v>
      </c>
      <c r="DJ26" s="72" t="e">
        <v>#N/A</v>
      </c>
      <c r="DK26" s="72" t="e">
        <v>#N/A</v>
      </c>
      <c r="DL26" s="39" t="s">
        <v>307</v>
      </c>
      <c r="DM26" s="39" t="b">
        <f t="shared" si="0"/>
        <v>0</v>
      </c>
      <c r="DN26" s="38" t="str">
        <f t="shared" si="1"/>
        <v>6636_Dien_Z 52_sport_XXX_50 _75_F</v>
      </c>
    </row>
    <row r="27" spans="1:118" ht="15.75" customHeight="1" x14ac:dyDescent="0.25">
      <c r="A27" s="37">
        <v>22</v>
      </c>
      <c r="C27" s="37">
        <v>6269</v>
      </c>
      <c r="D27" s="102" t="s">
        <v>474</v>
      </c>
      <c r="E27" s="58" t="s">
        <v>111</v>
      </c>
      <c r="F27" s="102" t="s">
        <v>473</v>
      </c>
      <c r="G27" s="102" t="s">
        <v>472</v>
      </c>
      <c r="H27" s="102">
        <v>92224</v>
      </c>
      <c r="I27" s="37" t="s">
        <v>114</v>
      </c>
      <c r="J27" s="102">
        <v>9621660</v>
      </c>
      <c r="K27" s="102">
        <v>9621661000</v>
      </c>
      <c r="L27" s="102" t="s">
        <v>471</v>
      </c>
      <c r="M27" s="102" t="s">
        <v>470</v>
      </c>
      <c r="N27" s="102" t="s">
        <v>1355</v>
      </c>
      <c r="O27" s="102" t="s">
        <v>1356</v>
      </c>
      <c r="P27" s="102">
        <v>9621662832</v>
      </c>
      <c r="Q27" s="102" t="s">
        <v>1357</v>
      </c>
      <c r="R27" s="37" t="s">
        <v>117</v>
      </c>
      <c r="S27" s="37" t="s">
        <v>118</v>
      </c>
      <c r="T27" s="39" t="e">
        <v>#N/A</v>
      </c>
      <c r="U27" s="41" t="s">
        <v>130</v>
      </c>
      <c r="V27" s="37" t="s">
        <v>131</v>
      </c>
      <c r="W27" s="39" t="e">
        <v>#N/A</v>
      </c>
      <c r="X27" s="39" t="e">
        <v>#N/A</v>
      </c>
      <c r="Y27" s="37" t="s">
        <v>469</v>
      </c>
      <c r="Z27" s="37" t="s">
        <v>151</v>
      </c>
      <c r="AA27" s="37" t="s">
        <v>157</v>
      </c>
      <c r="AB27" s="132" t="e">
        <v>#N/A</v>
      </c>
      <c r="AC27" s="132" t="e">
        <v>#N/A</v>
      </c>
      <c r="AD27" s="102" t="e">
        <v>#N/A</v>
      </c>
      <c r="AE27" s="102" t="e">
        <v>#N/A</v>
      </c>
      <c r="AF27" s="102" t="e">
        <v>#N/A</v>
      </c>
      <c r="AG27" s="102" t="e">
        <v>#N/A</v>
      </c>
      <c r="AH27" s="41" t="s">
        <v>161</v>
      </c>
      <c r="AI27" s="37" t="s">
        <v>178</v>
      </c>
      <c r="AJ27" s="37" t="s">
        <v>186</v>
      </c>
      <c r="AK27" s="39" t="e">
        <v>#N/A</v>
      </c>
      <c r="AL27" s="37" t="s">
        <v>187</v>
      </c>
      <c r="AM27" s="39" t="e">
        <v>#N/A</v>
      </c>
      <c r="AN27" s="37" t="b">
        <v>1</v>
      </c>
      <c r="AO27" s="37" t="b">
        <v>0</v>
      </c>
      <c r="AP27" s="37" t="b">
        <v>0</v>
      </c>
      <c r="AQ27" s="37" t="b">
        <v>0</v>
      </c>
      <c r="AR27" s="37" t="b">
        <v>0</v>
      </c>
      <c r="AS27" s="37" t="b">
        <v>1</v>
      </c>
      <c r="AT27" s="37" t="b">
        <v>0</v>
      </c>
      <c r="AU27" s="37" t="b">
        <v>0</v>
      </c>
      <c r="AV27" s="37" t="b">
        <v>0</v>
      </c>
      <c r="AW27" s="37" t="b">
        <v>0</v>
      </c>
      <c r="AX27" s="37" t="s">
        <v>33</v>
      </c>
      <c r="AY27" s="37" t="s">
        <v>196</v>
      </c>
      <c r="AZ27" s="37" t="s">
        <v>200</v>
      </c>
      <c r="BA27" s="37" t="s">
        <v>196</v>
      </c>
      <c r="BB27" s="37" t="s">
        <v>196</v>
      </c>
      <c r="BC27" s="37" t="s">
        <v>199</v>
      </c>
      <c r="BD27" s="37" t="s">
        <v>199</v>
      </c>
      <c r="BE27" s="37" t="s">
        <v>201</v>
      </c>
      <c r="BF27" s="37" t="e">
        <v>#N/A</v>
      </c>
      <c r="BG27" s="37" t="e">
        <v>#N/A</v>
      </c>
      <c r="BH27" s="37" t="s">
        <v>33</v>
      </c>
      <c r="BI27" s="37" t="s">
        <v>202</v>
      </c>
      <c r="BJ27" s="37" t="e">
        <v>#N/A</v>
      </c>
      <c r="BK27" s="37" t="e">
        <v>#N/A</v>
      </c>
      <c r="BL27" s="37" t="s">
        <v>33</v>
      </c>
      <c r="BM27" s="37" t="s">
        <v>203</v>
      </c>
      <c r="BN27" s="37" t="e">
        <v>#N/A</v>
      </c>
      <c r="BO27" s="37" t="e">
        <v>#N/A</v>
      </c>
      <c r="BP27" s="37" t="s">
        <v>33</v>
      </c>
      <c r="BQ27" s="37" t="s">
        <v>209</v>
      </c>
      <c r="BR27" s="37" t="s">
        <v>104</v>
      </c>
      <c r="BS27" s="37" t="s">
        <v>208</v>
      </c>
      <c r="BT27" s="37" t="s">
        <v>39</v>
      </c>
      <c r="BU27" s="37" t="b">
        <v>0</v>
      </c>
      <c r="BV27" s="37" t="b">
        <v>0</v>
      </c>
      <c r="BW27" s="37" t="b">
        <v>0</v>
      </c>
      <c r="BX27" s="37" t="b">
        <v>0</v>
      </c>
      <c r="BY27" s="37" t="b">
        <v>0</v>
      </c>
      <c r="BZ27" s="37" t="b">
        <v>0</v>
      </c>
      <c r="CA27" s="37" t="b">
        <v>0</v>
      </c>
      <c r="CB27" s="37" t="b">
        <v>0</v>
      </c>
      <c r="CC27" s="37" t="b">
        <v>1</v>
      </c>
      <c r="CD27" s="37" t="s">
        <v>468</v>
      </c>
      <c r="CE27" s="37" t="b">
        <v>0</v>
      </c>
      <c r="CF27" s="37" t="b">
        <v>0</v>
      </c>
      <c r="CG27" s="37" t="b">
        <v>0</v>
      </c>
      <c r="CH27" s="37" t="b">
        <v>0</v>
      </c>
      <c r="CI27" s="37" t="b">
        <v>0</v>
      </c>
      <c r="CJ27" s="37" t="b">
        <v>0</v>
      </c>
      <c r="CK27" s="37" t="b">
        <v>1</v>
      </c>
      <c r="CL27" s="37" t="b">
        <v>0</v>
      </c>
      <c r="CM27" s="37" t="b">
        <v>0</v>
      </c>
      <c r="CN27" s="37" t="s">
        <v>39</v>
      </c>
      <c r="CO27" s="57" t="e">
        <v>#N/A</v>
      </c>
      <c r="CP27" s="39" t="e">
        <v>#N/A</v>
      </c>
      <c r="CQ27" s="39" t="e">
        <v>#N/A</v>
      </c>
      <c r="CR27" s="37" t="e">
        <v>#N/A</v>
      </c>
      <c r="CS27" s="37" t="e">
        <v>#N/A</v>
      </c>
      <c r="CT27" s="37" t="e">
        <v>#N/A</v>
      </c>
      <c r="CU27" s="37" t="e">
        <v>#N/A</v>
      </c>
      <c r="CV27" s="37" t="e">
        <v>#N/A</v>
      </c>
      <c r="CW27" s="37" t="e">
        <v>#N/A</v>
      </c>
      <c r="CX27" s="37" t="b">
        <v>1</v>
      </c>
      <c r="CY27" s="37" t="b">
        <v>1</v>
      </c>
      <c r="CZ27" s="37" t="b">
        <v>1</v>
      </c>
      <c r="DA27" s="37" t="b">
        <v>0</v>
      </c>
      <c r="DB27" s="37" t="b">
        <v>1</v>
      </c>
      <c r="DC27" s="37" t="b">
        <v>0</v>
      </c>
      <c r="DD27" s="37" t="b">
        <v>1</v>
      </c>
      <c r="DE27" s="37" t="b">
        <v>1</v>
      </c>
      <c r="DF27" s="102" t="s">
        <v>1358</v>
      </c>
      <c r="DG27" s="37" t="s">
        <v>467</v>
      </c>
      <c r="DH27" s="37" t="e">
        <v>#N/A</v>
      </c>
      <c r="DI27" s="37" t="e">
        <v>#N/A</v>
      </c>
      <c r="DJ27" s="37" t="s">
        <v>466</v>
      </c>
      <c r="DK27" s="37">
        <v>40708</v>
      </c>
      <c r="DL27" s="39" t="s">
        <v>266</v>
      </c>
      <c r="DM27" s="39" t="b">
        <f t="shared" si="0"/>
        <v>1</v>
      </c>
      <c r="DN27" s="38" t="str">
        <f t="shared" si="1"/>
        <v>6269_Auto_Z 27_ktion_übe_ab _bi_W</v>
      </c>
    </row>
    <row r="28" spans="1:118" x14ac:dyDescent="0.25">
      <c r="A28" s="37">
        <v>23</v>
      </c>
      <c r="C28" s="37">
        <v>7445</v>
      </c>
      <c r="D28" s="132" t="s">
        <v>423</v>
      </c>
      <c r="E28" s="57" t="s">
        <v>109</v>
      </c>
      <c r="F28" s="132" t="s">
        <v>422</v>
      </c>
      <c r="G28" s="132" t="s">
        <v>421</v>
      </c>
      <c r="H28" s="132">
        <v>92637</v>
      </c>
      <c r="I28" s="39" t="s">
        <v>114</v>
      </c>
      <c r="J28" s="132" t="s">
        <v>420</v>
      </c>
      <c r="K28" s="132" t="s">
        <v>419</v>
      </c>
      <c r="L28" s="132" t="s">
        <v>418</v>
      </c>
      <c r="M28" s="132" t="s">
        <v>417</v>
      </c>
      <c r="N28" s="132" t="s">
        <v>1359</v>
      </c>
      <c r="O28" s="132" t="s">
        <v>1360</v>
      </c>
      <c r="P28" s="132" t="s">
        <v>1361</v>
      </c>
      <c r="Q28" s="132" t="s">
        <v>1362</v>
      </c>
      <c r="R28" s="39" t="s">
        <v>119</v>
      </c>
      <c r="S28" s="39" t="s">
        <v>120</v>
      </c>
      <c r="T28" s="39" t="e">
        <v>#N/A</v>
      </c>
      <c r="U28" s="40" t="s">
        <v>137</v>
      </c>
      <c r="V28" s="39" t="s">
        <v>145</v>
      </c>
      <c r="W28" s="39" t="e">
        <v>#N/A</v>
      </c>
      <c r="X28" s="39" t="e">
        <v>#N/A</v>
      </c>
      <c r="Y28" s="37" t="e">
        <v>#N/A</v>
      </c>
      <c r="Z28" s="39" t="s">
        <v>148</v>
      </c>
      <c r="AA28" s="39" t="s">
        <v>159</v>
      </c>
      <c r="AB28" s="132" t="s">
        <v>1363</v>
      </c>
      <c r="AC28" s="132" t="s">
        <v>1364</v>
      </c>
      <c r="AD28" s="132" t="s">
        <v>1365</v>
      </c>
      <c r="AE28" s="102" t="e">
        <v>#N/A</v>
      </c>
      <c r="AF28" s="102" t="e">
        <v>#N/A</v>
      </c>
      <c r="AG28" s="102" t="e">
        <v>#N/A</v>
      </c>
      <c r="AH28" s="41" t="s">
        <v>163</v>
      </c>
      <c r="AI28" s="39" t="s">
        <v>177</v>
      </c>
      <c r="AJ28" s="39" t="s">
        <v>181</v>
      </c>
      <c r="AK28" s="39" t="e">
        <v>#N/A</v>
      </c>
      <c r="AL28" s="39" t="s">
        <v>192</v>
      </c>
      <c r="AM28" s="39" t="e">
        <v>#N/A</v>
      </c>
      <c r="AN28" s="39" t="b">
        <v>1</v>
      </c>
      <c r="AO28" s="39" t="b">
        <v>0</v>
      </c>
      <c r="AP28" s="39" t="b">
        <v>0</v>
      </c>
      <c r="AQ28" s="39" t="b">
        <v>0</v>
      </c>
      <c r="AR28" s="39" t="b">
        <v>0</v>
      </c>
      <c r="AS28" s="39" t="b">
        <v>0</v>
      </c>
      <c r="AT28" s="39" t="b">
        <v>0</v>
      </c>
      <c r="AU28" s="39" t="b">
        <v>0</v>
      </c>
      <c r="AV28" s="39" t="b">
        <v>0</v>
      </c>
      <c r="AW28" s="39" t="b">
        <v>0</v>
      </c>
      <c r="AX28" s="39" t="s">
        <v>194</v>
      </c>
      <c r="AY28" s="39" t="s">
        <v>196</v>
      </c>
      <c r="AZ28" s="39" t="s">
        <v>199</v>
      </c>
      <c r="BA28" s="39" t="s">
        <v>199</v>
      </c>
      <c r="BB28" s="39" t="s">
        <v>199</v>
      </c>
      <c r="BC28" s="39" t="s">
        <v>199</v>
      </c>
      <c r="BD28" s="39" t="s">
        <v>199</v>
      </c>
      <c r="BE28" s="39" t="s">
        <v>201</v>
      </c>
      <c r="BF28" s="37" t="e">
        <v>#N/A</v>
      </c>
      <c r="BG28" s="37" t="e">
        <v>#N/A</v>
      </c>
      <c r="BH28" s="37" t="e">
        <v>#N/A</v>
      </c>
      <c r="BI28" s="39" t="s">
        <v>202</v>
      </c>
      <c r="BJ28" s="37" t="e">
        <v>#N/A</v>
      </c>
      <c r="BK28" s="37" t="e">
        <v>#N/A</v>
      </c>
      <c r="BL28" s="37" t="e">
        <v>#N/A</v>
      </c>
      <c r="BM28" s="37" t="e">
        <v>#N/A</v>
      </c>
      <c r="BN28" s="37" t="e">
        <v>#N/A</v>
      </c>
      <c r="BO28" s="37" t="e">
        <v>#N/A</v>
      </c>
      <c r="BP28" s="37" t="e">
        <v>#N/A</v>
      </c>
      <c r="BQ28" s="39" t="s">
        <v>209</v>
      </c>
      <c r="BR28" s="39" t="s">
        <v>209</v>
      </c>
      <c r="BS28" s="37" t="e">
        <v>#N/A</v>
      </c>
      <c r="BT28" s="39" t="s">
        <v>33</v>
      </c>
      <c r="BU28" s="39" t="b">
        <v>0</v>
      </c>
      <c r="BV28" s="39" t="b">
        <v>0</v>
      </c>
      <c r="BW28" s="39" t="b">
        <v>0</v>
      </c>
      <c r="BX28" s="39" t="b">
        <v>0</v>
      </c>
      <c r="BY28" s="39" t="b">
        <v>0</v>
      </c>
      <c r="BZ28" s="39" t="b">
        <v>0</v>
      </c>
      <c r="CA28" s="39" t="b">
        <v>0</v>
      </c>
      <c r="CB28" s="39" t="b">
        <v>0</v>
      </c>
      <c r="CC28" s="39" t="b">
        <v>1</v>
      </c>
      <c r="CD28" s="39" t="s">
        <v>416</v>
      </c>
      <c r="CE28" s="39" t="b">
        <v>1</v>
      </c>
      <c r="CF28" s="39" t="b">
        <v>1</v>
      </c>
      <c r="CG28" s="39" t="b">
        <v>0</v>
      </c>
      <c r="CH28" s="39" t="b">
        <v>0</v>
      </c>
      <c r="CI28" s="39" t="b">
        <v>0</v>
      </c>
      <c r="CJ28" s="39" t="b">
        <v>0</v>
      </c>
      <c r="CK28" s="39" t="b">
        <v>0</v>
      </c>
      <c r="CL28" s="39" t="b">
        <v>0</v>
      </c>
      <c r="CM28" s="39" t="b">
        <v>0</v>
      </c>
      <c r="CN28" s="39" t="s">
        <v>211</v>
      </c>
      <c r="CO28" s="57" t="s">
        <v>213</v>
      </c>
      <c r="CP28" s="39" t="s">
        <v>415</v>
      </c>
      <c r="CQ28" s="39" t="e">
        <v>#N/A</v>
      </c>
      <c r="CR28" s="39" t="s">
        <v>104</v>
      </c>
      <c r="CS28" s="37" t="e">
        <v>#N/A</v>
      </c>
      <c r="CT28" s="37" t="e">
        <v>#N/A</v>
      </c>
      <c r="CU28" s="37" t="e">
        <v>#N/A</v>
      </c>
      <c r="CV28" s="37" t="e">
        <v>#N/A</v>
      </c>
      <c r="CW28" s="39" t="s">
        <v>217</v>
      </c>
      <c r="CX28" s="39" t="b">
        <v>0</v>
      </c>
      <c r="CY28" s="39" t="b">
        <v>0</v>
      </c>
      <c r="CZ28" s="39" t="b">
        <v>0</v>
      </c>
      <c r="DA28" s="39" t="b">
        <v>0</v>
      </c>
      <c r="DB28" s="39" t="b">
        <v>1</v>
      </c>
      <c r="DC28" s="39" t="b">
        <v>1</v>
      </c>
      <c r="DD28" s="39" t="b">
        <v>0</v>
      </c>
      <c r="DE28" s="39" t="b">
        <v>0</v>
      </c>
      <c r="DF28" s="132" t="e">
        <v>#N/A</v>
      </c>
      <c r="DG28" s="39" t="s">
        <v>414</v>
      </c>
      <c r="DH28" s="37" t="e">
        <v>#N/A</v>
      </c>
      <c r="DI28" s="39">
        <v>40703</v>
      </c>
      <c r="DJ28" s="37" t="e">
        <v>#N/A</v>
      </c>
      <c r="DK28" s="39">
        <v>40703</v>
      </c>
      <c r="DL28" s="39" t="s">
        <v>307</v>
      </c>
      <c r="DM28" s="39" t="b">
        <f t="shared" si="0"/>
        <v>1</v>
      </c>
      <c r="DN28" s="38" t="str">
        <f t="shared" si="1"/>
        <v>7445_Dien_Z 52_sport_5 M_20 _75_W</v>
      </c>
    </row>
    <row r="29" spans="1:118" ht="15.75" customHeight="1" x14ac:dyDescent="0.25">
      <c r="A29" s="37">
        <v>24</v>
      </c>
      <c r="C29" s="37">
        <v>5086</v>
      </c>
      <c r="D29" s="132" t="s">
        <v>549</v>
      </c>
      <c r="E29" s="57" t="s">
        <v>109</v>
      </c>
      <c r="F29" s="132" t="s">
        <v>548</v>
      </c>
      <c r="G29" s="132" t="s">
        <v>547</v>
      </c>
      <c r="H29" s="132">
        <v>92442</v>
      </c>
      <c r="I29" s="39" t="s">
        <v>114</v>
      </c>
      <c r="J29" s="132" t="s">
        <v>546</v>
      </c>
      <c r="K29" s="132" t="s">
        <v>545</v>
      </c>
      <c r="L29" s="132" t="s">
        <v>544</v>
      </c>
      <c r="M29" s="132" t="s">
        <v>543</v>
      </c>
      <c r="N29" s="132" t="s">
        <v>1366</v>
      </c>
      <c r="O29" s="132" t="s">
        <v>1367</v>
      </c>
      <c r="P29" s="132" t="s">
        <v>1368</v>
      </c>
      <c r="Q29" s="132" t="s">
        <v>1369</v>
      </c>
      <c r="R29" s="37" t="e">
        <v>#N/A</v>
      </c>
      <c r="S29" s="39" t="s">
        <v>118</v>
      </c>
      <c r="T29" s="39" t="e">
        <v>#N/A</v>
      </c>
      <c r="U29" s="40" t="s">
        <v>128</v>
      </c>
      <c r="V29" s="39" t="e">
        <v>#N/A</v>
      </c>
      <c r="W29" s="39" t="e">
        <v>#N/A</v>
      </c>
      <c r="X29" s="39" t="e">
        <v>#N/A</v>
      </c>
      <c r="Y29" s="37" t="e">
        <v>#N/A</v>
      </c>
      <c r="Z29" s="39" t="s">
        <v>148</v>
      </c>
      <c r="AA29" s="39" t="s">
        <v>157</v>
      </c>
      <c r="AB29" s="132" t="e">
        <v>#N/A</v>
      </c>
      <c r="AC29" s="132" t="e">
        <v>#N/A</v>
      </c>
      <c r="AD29" s="102" t="e">
        <v>#N/A</v>
      </c>
      <c r="AE29" s="102" t="e">
        <v>#N/A</v>
      </c>
      <c r="AF29" s="102" t="e">
        <v>#N/A</v>
      </c>
      <c r="AG29" s="102" t="e">
        <v>#N/A</v>
      </c>
      <c r="AH29" s="41" t="s">
        <v>161</v>
      </c>
      <c r="AI29" s="39" t="s">
        <v>177</v>
      </c>
      <c r="AJ29" s="39" t="s">
        <v>182</v>
      </c>
      <c r="AK29" s="39" t="e">
        <v>#N/A</v>
      </c>
      <c r="AL29" s="39" t="s">
        <v>188</v>
      </c>
      <c r="AM29" s="39" t="e">
        <v>#N/A</v>
      </c>
      <c r="AN29" s="39" t="b">
        <v>1</v>
      </c>
      <c r="AO29" s="39" t="b">
        <v>1</v>
      </c>
      <c r="AP29" s="39" t="b">
        <v>0</v>
      </c>
      <c r="AQ29" s="39" t="b">
        <v>0</v>
      </c>
      <c r="AR29" s="39" t="b">
        <v>0</v>
      </c>
      <c r="AS29" s="39" t="b">
        <v>0</v>
      </c>
      <c r="AT29" s="39" t="b">
        <v>0</v>
      </c>
      <c r="AU29" s="39" t="b">
        <v>0</v>
      </c>
      <c r="AV29" s="39" t="b">
        <v>0</v>
      </c>
      <c r="AW29" s="39" t="b">
        <v>0</v>
      </c>
      <c r="AX29" s="39" t="s">
        <v>195</v>
      </c>
      <c r="AY29" s="39" t="s">
        <v>196</v>
      </c>
      <c r="AZ29" s="39" t="s">
        <v>200</v>
      </c>
      <c r="BA29" s="39" t="s">
        <v>200</v>
      </c>
      <c r="BB29" s="39" t="s">
        <v>200</v>
      </c>
      <c r="BC29" s="39" t="s">
        <v>200</v>
      </c>
      <c r="BD29" s="39" t="s">
        <v>200</v>
      </c>
      <c r="BE29" s="39" t="s">
        <v>249</v>
      </c>
      <c r="BF29" s="37" t="e">
        <v>#N/A</v>
      </c>
      <c r="BG29" s="37" t="e">
        <v>#N/A</v>
      </c>
      <c r="BH29" s="39" t="s">
        <v>33</v>
      </c>
      <c r="BI29" s="39" t="s">
        <v>202</v>
      </c>
      <c r="BJ29" s="37" t="e">
        <v>#N/A</v>
      </c>
      <c r="BK29" s="37" t="e">
        <v>#N/A</v>
      </c>
      <c r="BL29" s="39" t="s">
        <v>33</v>
      </c>
      <c r="BM29" s="39" t="s">
        <v>206</v>
      </c>
      <c r="BN29" s="37" t="e">
        <v>#N/A</v>
      </c>
      <c r="BO29" s="37" t="e">
        <v>#N/A</v>
      </c>
      <c r="BP29" s="39" t="s">
        <v>33</v>
      </c>
      <c r="BQ29" s="39" t="s">
        <v>209</v>
      </c>
      <c r="BR29" s="39" t="s">
        <v>104</v>
      </c>
      <c r="BS29" s="39" t="s">
        <v>208</v>
      </c>
      <c r="BT29" s="39" t="s">
        <v>33</v>
      </c>
      <c r="BU29" s="39" t="b">
        <v>1</v>
      </c>
      <c r="BV29" s="39" t="b">
        <v>1</v>
      </c>
      <c r="BW29" s="39" t="b">
        <v>0</v>
      </c>
      <c r="BX29" s="39" t="b">
        <v>1</v>
      </c>
      <c r="BY29" s="39" t="b">
        <v>0</v>
      </c>
      <c r="BZ29" s="39" t="b">
        <v>0</v>
      </c>
      <c r="CA29" s="39" t="b">
        <v>0</v>
      </c>
      <c r="CB29" s="39" t="b">
        <v>0</v>
      </c>
      <c r="CC29" s="39" t="b">
        <v>0</v>
      </c>
      <c r="CD29" s="39" t="e">
        <v>#N/A</v>
      </c>
      <c r="CE29" s="39" t="b">
        <v>1</v>
      </c>
      <c r="CF29" s="39" t="b">
        <v>1</v>
      </c>
      <c r="CG29" s="39" t="b">
        <v>0</v>
      </c>
      <c r="CH29" s="39" t="b">
        <v>0</v>
      </c>
      <c r="CI29" s="39" t="b">
        <v>0</v>
      </c>
      <c r="CJ29" s="39" t="b">
        <v>0</v>
      </c>
      <c r="CK29" s="39" t="b">
        <v>0</v>
      </c>
      <c r="CL29" s="39" t="b">
        <v>0</v>
      </c>
      <c r="CM29" s="39" t="b">
        <v>0</v>
      </c>
      <c r="CN29" s="39" t="s">
        <v>39</v>
      </c>
      <c r="CO29" s="57" t="e">
        <v>#N/A</v>
      </c>
      <c r="CP29" s="39" t="e">
        <v>#N/A</v>
      </c>
      <c r="CQ29" s="39" t="e">
        <v>#N/A</v>
      </c>
      <c r="CR29" s="37" t="e">
        <v>#N/A</v>
      </c>
      <c r="CS29" s="37" t="e">
        <v>#N/A</v>
      </c>
      <c r="CT29" s="37" t="e">
        <v>#N/A</v>
      </c>
      <c r="CU29" s="37" t="e">
        <v>#N/A</v>
      </c>
      <c r="CV29" s="37" t="e">
        <v>#N/A</v>
      </c>
      <c r="CW29" s="37" t="e">
        <v>#N/A</v>
      </c>
      <c r="CX29" s="39" t="b">
        <v>1</v>
      </c>
      <c r="CY29" s="39" t="b">
        <v>1</v>
      </c>
      <c r="CZ29" s="39" t="b">
        <v>1</v>
      </c>
      <c r="DA29" s="39" t="b">
        <v>0</v>
      </c>
      <c r="DB29" s="39" t="b">
        <v>0</v>
      </c>
      <c r="DC29" s="39" t="b">
        <v>0</v>
      </c>
      <c r="DD29" s="39" t="b">
        <v>0</v>
      </c>
      <c r="DE29" s="39" t="b">
        <v>0</v>
      </c>
      <c r="DF29" s="132" t="s">
        <v>1370</v>
      </c>
      <c r="DG29" s="39" t="s">
        <v>234</v>
      </c>
      <c r="DH29" s="39" t="s">
        <v>542</v>
      </c>
      <c r="DI29" s="37" t="e">
        <v>#N/A</v>
      </c>
      <c r="DJ29" s="39" t="s">
        <v>541</v>
      </c>
      <c r="DK29" s="39" t="s">
        <v>541</v>
      </c>
      <c r="DL29" s="39" t="s">
        <v>231</v>
      </c>
      <c r="DM29" s="39" t="b">
        <f t="shared" si="0"/>
        <v>1</v>
      </c>
      <c r="DN29" s="38" t="str">
        <f t="shared" si="1"/>
        <v>5086_XXXX_Z 25_ktion_5 M_50 _10_W</v>
      </c>
    </row>
    <row r="30" spans="1:118" ht="15.75" customHeight="1" x14ac:dyDescent="0.25">
      <c r="A30" s="37">
        <v>25</v>
      </c>
      <c r="C30" s="37">
        <v>1354</v>
      </c>
      <c r="D30" s="132" t="s">
        <v>808</v>
      </c>
      <c r="E30" s="57" t="s">
        <v>110</v>
      </c>
      <c r="F30" s="132" t="s">
        <v>807</v>
      </c>
      <c r="G30" s="132" t="s">
        <v>611</v>
      </c>
      <c r="H30" s="132">
        <v>95671</v>
      </c>
      <c r="I30" s="39" t="s">
        <v>114</v>
      </c>
      <c r="J30" s="132" t="s">
        <v>806</v>
      </c>
      <c r="K30" s="132" t="s">
        <v>805</v>
      </c>
      <c r="L30" s="132" t="s">
        <v>804</v>
      </c>
      <c r="M30" s="132" t="s">
        <v>803</v>
      </c>
      <c r="N30" s="132" t="s">
        <v>1371</v>
      </c>
      <c r="O30" s="132" t="s">
        <v>1371</v>
      </c>
      <c r="P30" s="132" t="e">
        <v>#N/A</v>
      </c>
      <c r="Q30" s="132" t="e">
        <v>#N/A</v>
      </c>
      <c r="R30" s="39" t="s">
        <v>118</v>
      </c>
      <c r="S30" s="39" t="e">
        <v>#N/A</v>
      </c>
      <c r="T30" s="39" t="e">
        <v>#N/A</v>
      </c>
      <c r="U30" s="40" t="s">
        <v>128</v>
      </c>
      <c r="V30" s="39" t="e">
        <v>#N/A</v>
      </c>
      <c r="W30" s="39" t="e">
        <v>#N/A</v>
      </c>
      <c r="X30" s="39" t="e">
        <v>#N/A</v>
      </c>
      <c r="Y30" s="39" t="s">
        <v>802</v>
      </c>
      <c r="Z30" s="39" t="s">
        <v>148</v>
      </c>
      <c r="AA30" s="39" t="s">
        <v>156</v>
      </c>
      <c r="AB30" s="132" t="e">
        <v>#N/A</v>
      </c>
      <c r="AC30" s="132" t="e">
        <v>#N/A</v>
      </c>
      <c r="AD30" s="102" t="e">
        <v>#N/A</v>
      </c>
      <c r="AE30" s="102" t="e">
        <v>#N/A</v>
      </c>
      <c r="AF30" s="102" t="e">
        <v>#N/A</v>
      </c>
      <c r="AG30" s="102" t="e">
        <v>#N/A</v>
      </c>
      <c r="AH30" s="41" t="s">
        <v>161</v>
      </c>
      <c r="AI30" s="39" t="s">
        <v>176</v>
      </c>
      <c r="AJ30" s="39" t="s">
        <v>182</v>
      </c>
      <c r="AK30" s="39" t="e">
        <v>#N/A</v>
      </c>
      <c r="AL30" s="39" t="s">
        <v>189</v>
      </c>
      <c r="AM30" s="39" t="e">
        <v>#N/A</v>
      </c>
      <c r="AN30" s="39" t="b">
        <v>1</v>
      </c>
      <c r="AO30" s="39" t="b">
        <v>0</v>
      </c>
      <c r="AP30" s="39" t="b">
        <v>0</v>
      </c>
      <c r="AQ30" s="39" t="b">
        <v>0</v>
      </c>
      <c r="AR30" s="39" t="b">
        <v>0</v>
      </c>
      <c r="AS30" s="39" t="b">
        <v>1</v>
      </c>
      <c r="AT30" s="39" t="b">
        <v>0</v>
      </c>
      <c r="AU30" s="39" t="b">
        <v>0</v>
      </c>
      <c r="AV30" s="39" t="b">
        <v>0</v>
      </c>
      <c r="AW30" s="39" t="b">
        <v>0</v>
      </c>
      <c r="AX30" s="39" t="s">
        <v>195</v>
      </c>
      <c r="AY30" s="39" t="s">
        <v>196</v>
      </c>
      <c r="AZ30" s="39" t="s">
        <v>200</v>
      </c>
      <c r="BA30" s="39" t="s">
        <v>200</v>
      </c>
      <c r="BB30" s="39" t="s">
        <v>200</v>
      </c>
      <c r="BC30" s="39" t="s">
        <v>200</v>
      </c>
      <c r="BD30" s="39" t="s">
        <v>200</v>
      </c>
      <c r="BE30" s="39" t="s">
        <v>201</v>
      </c>
      <c r="BF30" s="37" t="e">
        <v>#N/A</v>
      </c>
      <c r="BG30" s="37" t="e">
        <v>#N/A</v>
      </c>
      <c r="BH30" s="37" t="e">
        <v>#N/A</v>
      </c>
      <c r="BI30" s="39" t="s">
        <v>202</v>
      </c>
      <c r="BJ30" s="37" t="e">
        <v>#N/A</v>
      </c>
      <c r="BK30" s="37" t="e">
        <v>#N/A</v>
      </c>
      <c r="BL30" s="37" t="e">
        <v>#N/A</v>
      </c>
      <c r="BM30" s="39" t="s">
        <v>206</v>
      </c>
      <c r="BN30" s="37" t="e">
        <v>#N/A</v>
      </c>
      <c r="BO30" s="37" t="e">
        <v>#N/A</v>
      </c>
      <c r="BP30" s="37" t="e">
        <v>#N/A</v>
      </c>
      <c r="BQ30" s="39" t="s">
        <v>209</v>
      </c>
      <c r="BR30" s="39" t="s">
        <v>104</v>
      </c>
      <c r="BS30" s="39" t="s">
        <v>209</v>
      </c>
      <c r="BT30" s="39" t="s">
        <v>39</v>
      </c>
      <c r="BU30" s="39" t="b">
        <v>0</v>
      </c>
      <c r="BV30" s="39" t="b">
        <v>0</v>
      </c>
      <c r="BW30" s="39" t="b">
        <v>0</v>
      </c>
      <c r="BX30" s="39" t="b">
        <v>0</v>
      </c>
      <c r="BY30" s="39" t="b">
        <v>0</v>
      </c>
      <c r="BZ30" s="39" t="b">
        <v>0</v>
      </c>
      <c r="CA30" s="39" t="b">
        <v>0</v>
      </c>
      <c r="CB30" s="39" t="b">
        <v>0</v>
      </c>
      <c r="CC30" s="39" t="b">
        <v>1</v>
      </c>
      <c r="CD30" s="39" t="s">
        <v>801</v>
      </c>
      <c r="CE30" s="39" t="b">
        <v>0</v>
      </c>
      <c r="CF30" s="39" t="b">
        <v>0</v>
      </c>
      <c r="CG30" s="39" t="b">
        <v>0</v>
      </c>
      <c r="CH30" s="39" t="b">
        <v>0</v>
      </c>
      <c r="CI30" s="39" t="b">
        <v>0</v>
      </c>
      <c r="CJ30" s="39" t="b">
        <v>0</v>
      </c>
      <c r="CK30" s="39" t="b">
        <v>0</v>
      </c>
      <c r="CL30" s="39" t="b">
        <v>0</v>
      </c>
      <c r="CM30" s="39" t="b">
        <v>0</v>
      </c>
      <c r="CN30" s="39" t="s">
        <v>39</v>
      </c>
      <c r="CO30" s="57" t="e">
        <v>#N/A</v>
      </c>
      <c r="CP30" s="39" t="e">
        <v>#N/A</v>
      </c>
      <c r="CQ30" s="39" t="e">
        <v>#N/A</v>
      </c>
      <c r="CR30" s="37" t="e">
        <v>#N/A</v>
      </c>
      <c r="CS30" s="37" t="e">
        <v>#N/A</v>
      </c>
      <c r="CT30" s="37" t="e">
        <v>#N/A</v>
      </c>
      <c r="CU30" s="37" t="e">
        <v>#N/A</v>
      </c>
      <c r="CV30" s="37" t="e">
        <v>#N/A</v>
      </c>
      <c r="CW30" s="37" t="e">
        <v>#N/A</v>
      </c>
      <c r="CX30" s="39" t="b">
        <v>1</v>
      </c>
      <c r="CY30" s="39" t="b">
        <v>1</v>
      </c>
      <c r="CZ30" s="39" t="b">
        <v>1</v>
      </c>
      <c r="DA30" s="39" t="b">
        <v>1</v>
      </c>
      <c r="DB30" s="39" t="b">
        <v>1</v>
      </c>
      <c r="DC30" s="39" t="b">
        <v>1</v>
      </c>
      <c r="DD30" s="39" t="b">
        <v>1</v>
      </c>
      <c r="DE30" s="39" t="b">
        <v>1</v>
      </c>
      <c r="DF30" s="132" t="e">
        <v>#N/A</v>
      </c>
      <c r="DG30" s="39" t="s">
        <v>800</v>
      </c>
      <c r="DH30" s="39">
        <v>40673</v>
      </c>
      <c r="DI30" s="39">
        <v>40673</v>
      </c>
      <c r="DJ30" s="39">
        <v>40676</v>
      </c>
      <c r="DK30" s="39">
        <v>40711</v>
      </c>
      <c r="DL30" s="37" t="s">
        <v>348</v>
      </c>
      <c r="DM30" s="39" t="b">
        <f t="shared" si="0"/>
        <v>0</v>
      </c>
      <c r="DN30" s="38" t="str">
        <f t="shared" si="1"/>
        <v>1354_Indu_Z 25_ktion_1 M_50 _20_F</v>
      </c>
    </row>
    <row r="31" spans="1:118" ht="15.75" customHeight="1" x14ac:dyDescent="0.25">
      <c r="A31" s="37">
        <v>26</v>
      </c>
      <c r="C31" s="37">
        <v>1217</v>
      </c>
      <c r="D31" s="132" t="s">
        <v>823</v>
      </c>
      <c r="E31" s="57" t="s">
        <v>111</v>
      </c>
      <c r="F31" s="132" t="s">
        <v>822</v>
      </c>
      <c r="G31" s="132" t="s">
        <v>821</v>
      </c>
      <c r="H31" s="132">
        <v>95703</v>
      </c>
      <c r="I31" s="39" t="s">
        <v>114</v>
      </c>
      <c r="J31" s="132" t="s">
        <v>820</v>
      </c>
      <c r="K31" s="132" t="s">
        <v>819</v>
      </c>
      <c r="L31" s="132" t="s">
        <v>818</v>
      </c>
      <c r="M31" s="132" t="s">
        <v>817</v>
      </c>
      <c r="N31" s="132" t="s">
        <v>1372</v>
      </c>
      <c r="O31" s="132" t="s">
        <v>1373</v>
      </c>
      <c r="P31" s="132" t="s">
        <v>1374</v>
      </c>
      <c r="Q31" s="132" t="s">
        <v>1375</v>
      </c>
      <c r="R31" s="39" t="s">
        <v>118</v>
      </c>
      <c r="S31" s="39" t="e">
        <v>#N/A</v>
      </c>
      <c r="T31" s="39" t="e">
        <v>#N/A</v>
      </c>
      <c r="U31" s="40" t="s">
        <v>128</v>
      </c>
      <c r="V31" s="39" t="s">
        <v>142</v>
      </c>
      <c r="W31" s="39" t="e">
        <v>#N/A</v>
      </c>
      <c r="X31" s="39" t="e">
        <v>#N/A</v>
      </c>
      <c r="Y31" s="39" t="s">
        <v>816</v>
      </c>
      <c r="Z31" s="39" t="s">
        <v>154</v>
      </c>
      <c r="AA31" s="39" t="s">
        <v>157</v>
      </c>
      <c r="AB31" s="132" t="e">
        <v>#N/A</v>
      </c>
      <c r="AC31" s="132" t="e">
        <v>#N/A</v>
      </c>
      <c r="AD31" s="102" t="e">
        <v>#N/A</v>
      </c>
      <c r="AE31" s="102" t="e">
        <v>#N/A</v>
      </c>
      <c r="AF31" s="102" t="e">
        <v>#N/A</v>
      </c>
      <c r="AG31" s="102" t="e">
        <v>#N/A</v>
      </c>
      <c r="AH31" s="41" t="s">
        <v>161</v>
      </c>
      <c r="AI31" s="39" t="s">
        <v>177</v>
      </c>
      <c r="AJ31" s="39" t="s">
        <v>184</v>
      </c>
      <c r="AK31" s="39">
        <v>224</v>
      </c>
      <c r="AL31" s="39" t="s">
        <v>187</v>
      </c>
      <c r="AM31" s="39">
        <v>4</v>
      </c>
      <c r="AN31" s="39" t="b">
        <v>1</v>
      </c>
      <c r="AO31" s="39" t="b">
        <v>1</v>
      </c>
      <c r="AP31" s="39" t="b">
        <v>1</v>
      </c>
      <c r="AQ31" s="39" t="b">
        <v>0</v>
      </c>
      <c r="AR31" s="39" t="b">
        <v>0</v>
      </c>
      <c r="AS31" s="39" t="b">
        <v>1</v>
      </c>
      <c r="AT31" s="39" t="b">
        <v>0</v>
      </c>
      <c r="AU31" s="39" t="b">
        <v>0</v>
      </c>
      <c r="AV31" s="39" t="b">
        <v>0</v>
      </c>
      <c r="AW31" s="39" t="b">
        <v>0</v>
      </c>
      <c r="AX31" s="39" t="s">
        <v>193</v>
      </c>
      <c r="AY31" s="39" t="s">
        <v>196</v>
      </c>
      <c r="AZ31" s="39" t="s">
        <v>198</v>
      </c>
      <c r="BA31" s="39" t="s">
        <v>199</v>
      </c>
      <c r="BB31" s="39" t="s">
        <v>199</v>
      </c>
      <c r="BC31" s="39" t="s">
        <v>199</v>
      </c>
      <c r="BD31" s="39" t="s">
        <v>199</v>
      </c>
      <c r="BE31" s="39" t="s">
        <v>201</v>
      </c>
      <c r="BF31" s="39" t="s">
        <v>815</v>
      </c>
      <c r="BG31" s="39" t="s">
        <v>642</v>
      </c>
      <c r="BH31" s="39" t="s">
        <v>33</v>
      </c>
      <c r="BI31" s="39" t="s">
        <v>202</v>
      </c>
      <c r="BJ31" s="39" t="s">
        <v>814</v>
      </c>
      <c r="BK31" s="39" t="s">
        <v>813</v>
      </c>
      <c r="BL31" s="39" t="s">
        <v>33</v>
      </c>
      <c r="BM31" s="39" t="s">
        <v>205</v>
      </c>
      <c r="BN31" s="39" t="s">
        <v>812</v>
      </c>
      <c r="BO31" s="39" t="s">
        <v>811</v>
      </c>
      <c r="BP31" s="39" t="s">
        <v>33</v>
      </c>
      <c r="BQ31" s="39" t="s">
        <v>209</v>
      </c>
      <c r="BR31" s="39" t="s">
        <v>104</v>
      </c>
      <c r="BS31" s="39" t="s">
        <v>208</v>
      </c>
      <c r="BT31" s="39" t="s">
        <v>33</v>
      </c>
      <c r="BU31" s="39" t="b">
        <v>1</v>
      </c>
      <c r="BV31" s="39" t="b">
        <v>1</v>
      </c>
      <c r="BW31" s="39" t="b">
        <v>0</v>
      </c>
      <c r="BX31" s="39" t="b">
        <v>1</v>
      </c>
      <c r="BY31" s="39" t="b">
        <v>1</v>
      </c>
      <c r="BZ31" s="39" t="b">
        <v>0</v>
      </c>
      <c r="CA31" s="39" t="b">
        <v>1</v>
      </c>
      <c r="CB31" s="39" t="b">
        <v>0</v>
      </c>
      <c r="CC31" s="39" t="b">
        <v>0</v>
      </c>
      <c r="CD31" s="39" t="e">
        <v>#N/A</v>
      </c>
      <c r="CE31" s="39" t="b">
        <v>1</v>
      </c>
      <c r="CF31" s="39" t="b">
        <v>1</v>
      </c>
      <c r="CG31" s="39" t="b">
        <v>0</v>
      </c>
      <c r="CH31" s="39" t="b">
        <v>0</v>
      </c>
      <c r="CI31" s="39" t="b">
        <v>0</v>
      </c>
      <c r="CJ31" s="39" t="b">
        <v>0</v>
      </c>
      <c r="CK31" s="39" t="b">
        <v>1</v>
      </c>
      <c r="CL31" s="39" t="b">
        <v>1</v>
      </c>
      <c r="CM31" s="39" t="b">
        <v>0</v>
      </c>
      <c r="CN31" s="39" t="s">
        <v>211</v>
      </c>
      <c r="CO31" s="57" t="s">
        <v>212</v>
      </c>
      <c r="CP31" s="39" t="s">
        <v>810</v>
      </c>
      <c r="CQ31" s="39" t="s">
        <v>809</v>
      </c>
      <c r="CR31" s="37" t="e">
        <v>#N/A</v>
      </c>
      <c r="CS31" s="37" t="e">
        <v>#N/A</v>
      </c>
      <c r="CT31" s="37" t="e">
        <v>#N/A</v>
      </c>
      <c r="CU31" s="37" t="e">
        <v>#N/A</v>
      </c>
      <c r="CV31" s="37" t="e">
        <v>#N/A</v>
      </c>
      <c r="CW31" s="39" t="s">
        <v>39</v>
      </c>
      <c r="CX31" s="39" t="b">
        <v>0</v>
      </c>
      <c r="CY31" s="39" t="b">
        <v>1</v>
      </c>
      <c r="CZ31" s="39" t="b">
        <v>1</v>
      </c>
      <c r="DA31" s="39" t="b">
        <v>1</v>
      </c>
      <c r="DB31" s="39" t="b">
        <v>1</v>
      </c>
      <c r="DC31" s="39" t="b">
        <v>1</v>
      </c>
      <c r="DD31" s="39" t="b">
        <v>1</v>
      </c>
      <c r="DE31" s="39" t="b">
        <v>1</v>
      </c>
      <c r="DF31" s="132" t="s">
        <v>1376</v>
      </c>
      <c r="DG31" s="39" t="s">
        <v>800</v>
      </c>
      <c r="DH31" s="39">
        <v>40703</v>
      </c>
      <c r="DI31" s="39">
        <v>40704</v>
      </c>
      <c r="DJ31" s="39">
        <v>40704</v>
      </c>
      <c r="DK31" s="39">
        <v>40711</v>
      </c>
      <c r="DL31" s="37" t="s">
        <v>348</v>
      </c>
      <c r="DM31" s="39" t="b">
        <f t="shared" si="0"/>
        <v>1</v>
      </c>
      <c r="DN31" s="38" t="str">
        <f t="shared" si="1"/>
        <v>1217_Indu_Z 25_ktion_5 M_200_bi_W</v>
      </c>
    </row>
    <row r="32" spans="1:118" ht="15.75" customHeight="1" x14ac:dyDescent="0.25">
      <c r="A32" s="37">
        <v>27</v>
      </c>
      <c r="C32" s="37">
        <v>8575</v>
      </c>
      <c r="D32" s="132" t="s">
        <v>371</v>
      </c>
      <c r="E32" s="57" t="s">
        <v>109</v>
      </c>
      <c r="F32" s="132" t="s">
        <v>370</v>
      </c>
      <c r="G32" s="132" t="s">
        <v>293</v>
      </c>
      <c r="H32" s="132">
        <v>92401</v>
      </c>
      <c r="I32" s="39" t="s">
        <v>114</v>
      </c>
      <c r="J32" s="132">
        <v>943141364</v>
      </c>
      <c r="K32" s="132">
        <v>943141364</v>
      </c>
      <c r="L32" s="132" t="s">
        <v>369</v>
      </c>
      <c r="M32" s="132" t="s">
        <v>368</v>
      </c>
      <c r="N32" s="132" t="s">
        <v>1377</v>
      </c>
      <c r="O32" s="132" t="s">
        <v>1378</v>
      </c>
      <c r="P32" s="132">
        <v>943171430</v>
      </c>
      <c r="Q32" s="132" t="s">
        <v>1379</v>
      </c>
      <c r="R32" s="39" t="s">
        <v>118</v>
      </c>
      <c r="S32" s="39" t="e">
        <v>#N/A</v>
      </c>
      <c r="T32" s="39" t="e">
        <v>#N/A</v>
      </c>
      <c r="U32" s="40" t="s">
        <v>128</v>
      </c>
      <c r="V32" s="39" t="e">
        <v>#N/A</v>
      </c>
      <c r="W32" s="39" t="e">
        <v>#N/A</v>
      </c>
      <c r="X32" s="39" t="e">
        <v>#N/A</v>
      </c>
      <c r="Y32" s="39" t="s">
        <v>367</v>
      </c>
      <c r="Z32" s="39" t="s">
        <v>148</v>
      </c>
      <c r="AA32" s="39" t="s">
        <v>157</v>
      </c>
      <c r="AB32" s="132" t="e">
        <v>#N/A</v>
      </c>
      <c r="AC32" s="132" t="e">
        <v>#N/A</v>
      </c>
      <c r="AD32" s="102" t="e">
        <v>#N/A</v>
      </c>
      <c r="AE32" s="102" t="e">
        <v>#N/A</v>
      </c>
      <c r="AF32" s="102" t="e">
        <v>#N/A</v>
      </c>
      <c r="AG32" s="102" t="e">
        <v>#N/A</v>
      </c>
      <c r="AH32" s="41" t="s">
        <v>161</v>
      </c>
      <c r="AI32" s="39" t="s">
        <v>178</v>
      </c>
      <c r="AJ32" s="39" t="s">
        <v>184</v>
      </c>
      <c r="AK32" s="39" t="e">
        <v>#N/A</v>
      </c>
      <c r="AL32" s="39" t="s">
        <v>187</v>
      </c>
      <c r="AM32" s="39" t="e">
        <v>#N/A</v>
      </c>
      <c r="AN32" s="39" t="b">
        <v>1</v>
      </c>
      <c r="AO32" s="39" t="b">
        <v>1</v>
      </c>
      <c r="AP32" s="39" t="b">
        <v>1</v>
      </c>
      <c r="AQ32" s="39" t="b">
        <v>0</v>
      </c>
      <c r="AR32" s="39" t="b">
        <v>1</v>
      </c>
      <c r="AS32" s="39" t="b">
        <v>0</v>
      </c>
      <c r="AT32" s="39" t="b">
        <v>0</v>
      </c>
      <c r="AU32" s="39" t="b">
        <v>0</v>
      </c>
      <c r="AV32" s="39" t="b">
        <v>0</v>
      </c>
      <c r="AW32" s="39" t="b">
        <v>0</v>
      </c>
      <c r="AX32" s="39" t="s">
        <v>195</v>
      </c>
      <c r="AY32" s="39" t="s">
        <v>196</v>
      </c>
      <c r="AZ32" s="39" t="s">
        <v>196</v>
      </c>
      <c r="BA32" s="39" t="s">
        <v>196</v>
      </c>
      <c r="BB32" s="37" t="e">
        <v>#N/A</v>
      </c>
      <c r="BC32" s="37" t="e">
        <v>#N/A</v>
      </c>
      <c r="BD32" s="37" t="e">
        <v>#N/A</v>
      </c>
      <c r="BE32" s="39" t="s">
        <v>203</v>
      </c>
      <c r="BF32" s="37" t="e">
        <v>#N/A</v>
      </c>
      <c r="BG32" s="37" t="e">
        <v>#N/A</v>
      </c>
      <c r="BH32" s="39" t="s">
        <v>33</v>
      </c>
      <c r="BI32" s="39" t="s">
        <v>205</v>
      </c>
      <c r="BJ32" s="37" t="e">
        <v>#N/A</v>
      </c>
      <c r="BK32" s="37" t="e">
        <v>#N/A</v>
      </c>
      <c r="BL32" s="39" t="s">
        <v>33</v>
      </c>
      <c r="BM32" s="37" t="e">
        <v>#N/A</v>
      </c>
      <c r="BN32" s="37" t="e">
        <v>#N/A</v>
      </c>
      <c r="BO32" s="37" t="e">
        <v>#N/A</v>
      </c>
      <c r="BP32" s="37" t="e">
        <v>#N/A</v>
      </c>
      <c r="BQ32" s="39" t="s">
        <v>209</v>
      </c>
      <c r="BR32" s="39" t="s">
        <v>208</v>
      </c>
      <c r="BS32" s="39" t="s">
        <v>209</v>
      </c>
      <c r="BT32" s="39" t="s">
        <v>33</v>
      </c>
      <c r="BU32" s="39" t="b">
        <v>0</v>
      </c>
      <c r="BV32" s="39" t="b">
        <v>0</v>
      </c>
      <c r="BW32" s="39" t="b">
        <v>0</v>
      </c>
      <c r="BX32" s="39" t="b">
        <v>0</v>
      </c>
      <c r="BY32" s="39" t="b">
        <v>0</v>
      </c>
      <c r="BZ32" s="39" t="b">
        <v>0</v>
      </c>
      <c r="CA32" s="39" t="b">
        <v>0</v>
      </c>
      <c r="CB32" s="39" t="b">
        <v>0</v>
      </c>
      <c r="CC32" s="39" t="b">
        <v>1</v>
      </c>
      <c r="CD32" s="39" t="s">
        <v>366</v>
      </c>
      <c r="CE32" s="39" t="b">
        <v>0</v>
      </c>
      <c r="CF32" s="39" t="b">
        <v>0</v>
      </c>
      <c r="CG32" s="39" t="b">
        <v>0</v>
      </c>
      <c r="CH32" s="39" t="b">
        <v>0</v>
      </c>
      <c r="CI32" s="39" t="b">
        <v>0</v>
      </c>
      <c r="CJ32" s="39" t="b">
        <v>0</v>
      </c>
      <c r="CK32" s="39" t="b">
        <v>0</v>
      </c>
      <c r="CL32" s="39" t="b">
        <v>0</v>
      </c>
      <c r="CM32" s="39" t="b">
        <v>1</v>
      </c>
      <c r="CN32" s="39" t="s">
        <v>211</v>
      </c>
      <c r="CO32" s="57" t="s">
        <v>212</v>
      </c>
      <c r="CP32" s="39">
        <v>10</v>
      </c>
      <c r="CQ32" s="39" t="s">
        <v>365</v>
      </c>
      <c r="CR32" s="39" t="s">
        <v>215</v>
      </c>
      <c r="CS32" s="37" t="e">
        <v>#N/A</v>
      </c>
      <c r="CT32" s="37" t="e">
        <v>#N/A</v>
      </c>
      <c r="CU32" s="37" t="e">
        <v>#N/A</v>
      </c>
      <c r="CV32" s="37" t="e">
        <v>#N/A</v>
      </c>
      <c r="CW32" s="39" t="s">
        <v>39</v>
      </c>
      <c r="CX32" s="39" t="b">
        <v>0</v>
      </c>
      <c r="CY32" s="39" t="b">
        <v>1</v>
      </c>
      <c r="CZ32" s="39" t="b">
        <v>1</v>
      </c>
      <c r="DA32" s="39" t="b">
        <v>0</v>
      </c>
      <c r="DB32" s="39" t="b">
        <v>1</v>
      </c>
      <c r="DC32" s="39" t="b">
        <v>1</v>
      </c>
      <c r="DD32" s="39" t="b">
        <v>1</v>
      </c>
      <c r="DE32" s="39" t="b">
        <v>0</v>
      </c>
      <c r="DF32" s="132" t="s">
        <v>1380</v>
      </c>
      <c r="DG32" s="39" t="s">
        <v>289</v>
      </c>
      <c r="DH32" s="37" t="e">
        <v>#N/A</v>
      </c>
      <c r="DI32" s="37" t="e">
        <v>#N/A</v>
      </c>
      <c r="DJ32" s="39" t="s">
        <v>364</v>
      </c>
      <c r="DK32" s="39">
        <v>40708</v>
      </c>
      <c r="DL32" s="39" t="s">
        <v>266</v>
      </c>
      <c r="DM32" s="39" t="b">
        <f t="shared" si="0"/>
        <v>1</v>
      </c>
      <c r="DN32" s="38" t="str">
        <f t="shared" si="1"/>
        <v>8575_Indu_Z 25_ktion_übe_200_bi_W</v>
      </c>
    </row>
    <row r="33" spans="1:118" ht="15.75" customHeight="1" x14ac:dyDescent="0.25">
      <c r="A33" s="37">
        <v>28</v>
      </c>
      <c r="C33" s="37">
        <v>4031</v>
      </c>
      <c r="D33" s="132" t="s">
        <v>632</v>
      </c>
      <c r="E33" s="57" t="s">
        <v>109</v>
      </c>
      <c r="F33" s="132" t="s">
        <v>631</v>
      </c>
      <c r="G33" s="132" t="s">
        <v>630</v>
      </c>
      <c r="H33" s="132">
        <v>95506</v>
      </c>
      <c r="I33" s="39" t="s">
        <v>114</v>
      </c>
      <c r="J33" s="132" t="s">
        <v>629</v>
      </c>
      <c r="K33" s="132" t="s">
        <v>628</v>
      </c>
      <c r="L33" s="132" t="s">
        <v>627</v>
      </c>
      <c r="M33" s="132" t="s">
        <v>626</v>
      </c>
      <c r="N33" s="132" t="s">
        <v>1381</v>
      </c>
      <c r="O33" s="134" t="e">
        <v>#N/A</v>
      </c>
      <c r="P33" s="132" t="e">
        <v>#N/A</v>
      </c>
      <c r="Q33" s="132" t="e">
        <v>#N/A</v>
      </c>
      <c r="R33" s="37" t="e">
        <v>#N/A</v>
      </c>
      <c r="S33" s="39" t="s">
        <v>118</v>
      </c>
      <c r="T33" s="39" t="e">
        <v>#N/A</v>
      </c>
      <c r="U33" s="40" t="s">
        <v>625</v>
      </c>
      <c r="V33" s="39" t="s">
        <v>624</v>
      </c>
      <c r="W33" s="39" t="e">
        <v>#N/A</v>
      </c>
      <c r="X33" s="39" t="e">
        <v>#N/A</v>
      </c>
      <c r="Y33" s="37" t="e">
        <v>#N/A</v>
      </c>
      <c r="Z33" s="39" t="s">
        <v>148</v>
      </c>
      <c r="AA33" s="39" t="s">
        <v>156</v>
      </c>
      <c r="AB33" s="132" t="e">
        <v>#N/A</v>
      </c>
      <c r="AC33" s="132" t="e">
        <v>#N/A</v>
      </c>
      <c r="AD33" s="102" t="e">
        <v>#N/A</v>
      </c>
      <c r="AE33" s="102" t="e">
        <v>#N/A</v>
      </c>
      <c r="AF33" s="102" t="e">
        <v>#N/A</v>
      </c>
      <c r="AG33" s="102" t="e">
        <v>#N/A</v>
      </c>
      <c r="AH33" s="41" t="s">
        <v>161</v>
      </c>
      <c r="AI33" s="39" t="s">
        <v>177</v>
      </c>
      <c r="AJ33" s="39" t="s">
        <v>183</v>
      </c>
      <c r="AK33" s="39" t="e">
        <v>#N/A</v>
      </c>
      <c r="AL33" s="39" t="s">
        <v>188</v>
      </c>
      <c r="AM33" s="39" t="e">
        <v>#N/A</v>
      </c>
      <c r="AN33" s="39" t="b">
        <v>0</v>
      </c>
      <c r="AO33" s="39" t="b">
        <v>0</v>
      </c>
      <c r="AP33" s="39" t="b">
        <v>0</v>
      </c>
      <c r="AQ33" s="39" t="b">
        <v>0</v>
      </c>
      <c r="AR33" s="39" t="b">
        <v>0</v>
      </c>
      <c r="AS33" s="39" t="b">
        <v>0</v>
      </c>
      <c r="AT33" s="39" t="b">
        <v>1</v>
      </c>
      <c r="AU33" s="39" t="b">
        <v>1</v>
      </c>
      <c r="AV33" s="39" t="b">
        <v>0</v>
      </c>
      <c r="AW33" s="39" t="b">
        <v>0</v>
      </c>
      <c r="AX33" s="39" t="s">
        <v>194</v>
      </c>
      <c r="AY33" s="39" t="s">
        <v>197</v>
      </c>
      <c r="AZ33" s="39" t="s">
        <v>198</v>
      </c>
      <c r="BA33" s="39" t="s">
        <v>198</v>
      </c>
      <c r="BB33" s="39" t="s">
        <v>198</v>
      </c>
      <c r="BC33" s="39" t="s">
        <v>199</v>
      </c>
      <c r="BD33" s="39" t="s">
        <v>199</v>
      </c>
      <c r="BE33" s="39" t="s">
        <v>201</v>
      </c>
      <c r="BF33" s="37" t="e">
        <v>#N/A</v>
      </c>
      <c r="BG33" s="37" t="e">
        <v>#N/A</v>
      </c>
      <c r="BH33" s="37" t="e">
        <v>#N/A</v>
      </c>
      <c r="BI33" s="39" t="s">
        <v>205</v>
      </c>
      <c r="BJ33" s="37" t="e">
        <v>#N/A</v>
      </c>
      <c r="BK33" s="37" t="e">
        <v>#N/A</v>
      </c>
      <c r="BL33" s="37" t="e">
        <v>#N/A</v>
      </c>
      <c r="BM33" s="37" t="e">
        <v>#N/A</v>
      </c>
      <c r="BN33" s="37" t="e">
        <v>#N/A</v>
      </c>
      <c r="BO33" s="37" t="e">
        <v>#N/A</v>
      </c>
      <c r="BP33" s="37" t="e">
        <v>#N/A</v>
      </c>
      <c r="BQ33" s="39" t="s">
        <v>209</v>
      </c>
      <c r="BR33" s="39" t="s">
        <v>104</v>
      </c>
      <c r="BS33" s="39" t="s">
        <v>208</v>
      </c>
      <c r="BT33" s="39" t="s">
        <v>39</v>
      </c>
      <c r="BU33" s="39" t="b">
        <v>0</v>
      </c>
      <c r="BV33" s="39" t="b">
        <v>0</v>
      </c>
      <c r="BW33" s="39" t="b">
        <v>0</v>
      </c>
      <c r="BX33" s="39" t="b">
        <v>0</v>
      </c>
      <c r="BY33" s="39" t="b">
        <v>0</v>
      </c>
      <c r="BZ33" s="39" t="b">
        <v>0</v>
      </c>
      <c r="CA33" s="39" t="b">
        <v>0</v>
      </c>
      <c r="CB33" s="39" t="b">
        <v>0</v>
      </c>
      <c r="CC33" s="39" t="b">
        <v>1</v>
      </c>
      <c r="CD33" s="39" t="e">
        <v>#N/A</v>
      </c>
      <c r="CE33" s="39" t="b">
        <v>1</v>
      </c>
      <c r="CF33" s="39" t="b">
        <v>0</v>
      </c>
      <c r="CG33" s="39" t="b">
        <v>1</v>
      </c>
      <c r="CH33" s="39" t="b">
        <v>0</v>
      </c>
      <c r="CI33" s="39" t="b">
        <v>0</v>
      </c>
      <c r="CJ33" s="39" t="b">
        <v>0</v>
      </c>
      <c r="CK33" s="39" t="b">
        <v>0</v>
      </c>
      <c r="CL33" s="39" t="b">
        <v>0</v>
      </c>
      <c r="CM33" s="39" t="b">
        <v>0</v>
      </c>
      <c r="CN33" s="39" t="s">
        <v>39</v>
      </c>
      <c r="CO33" s="57" t="e">
        <v>#N/A</v>
      </c>
      <c r="CP33" s="39" t="e">
        <v>#N/A</v>
      </c>
      <c r="CQ33" s="39" t="e">
        <v>#N/A</v>
      </c>
      <c r="CR33" s="37" t="e">
        <v>#N/A</v>
      </c>
      <c r="CS33" s="37" t="e">
        <v>#N/A</v>
      </c>
      <c r="CT33" s="37" t="e">
        <v>#N/A</v>
      </c>
      <c r="CU33" s="37" t="e">
        <v>#N/A</v>
      </c>
      <c r="CV33" s="37" t="e">
        <v>#N/A</v>
      </c>
      <c r="CW33" s="37" t="e">
        <v>#N/A</v>
      </c>
      <c r="CX33" s="39" t="b">
        <v>1</v>
      </c>
      <c r="CY33" s="39" t="b">
        <v>0</v>
      </c>
      <c r="CZ33" s="39" t="b">
        <v>0</v>
      </c>
      <c r="DA33" s="39" t="b">
        <v>0</v>
      </c>
      <c r="DB33" s="39" t="b">
        <v>1</v>
      </c>
      <c r="DC33" s="39" t="b">
        <v>1</v>
      </c>
      <c r="DD33" s="39" t="b">
        <v>0</v>
      </c>
      <c r="DE33" s="39" t="b">
        <v>0</v>
      </c>
      <c r="DF33" s="132" t="e">
        <v>#N/A</v>
      </c>
      <c r="DG33" s="39" t="s">
        <v>564</v>
      </c>
      <c r="DH33" s="39" t="s">
        <v>623</v>
      </c>
      <c r="DI33" s="39">
        <v>40707</v>
      </c>
      <c r="DJ33" s="39">
        <v>40697</v>
      </c>
      <c r="DK33" s="39">
        <v>40707</v>
      </c>
      <c r="DL33" s="37" t="s">
        <v>348</v>
      </c>
      <c r="DM33" s="39" t="b">
        <f t="shared" si="0"/>
        <v>1</v>
      </c>
      <c r="DN33" s="38" t="str">
        <f t="shared" si="1"/>
        <v>4031_XXXX_Z 24_ktion_5 M_100_10_W</v>
      </c>
    </row>
    <row r="34" spans="1:118" ht="15.75" customHeight="1" x14ac:dyDescent="0.25">
      <c r="A34" s="37">
        <v>29</v>
      </c>
      <c r="C34" s="37">
        <v>2580</v>
      </c>
      <c r="D34" s="132" t="s">
        <v>723</v>
      </c>
      <c r="E34" s="57" t="s">
        <v>109</v>
      </c>
      <c r="F34" s="132" t="s">
        <v>722</v>
      </c>
      <c r="G34" s="132" t="s">
        <v>721</v>
      </c>
      <c r="H34" s="132">
        <v>92447</v>
      </c>
      <c r="I34" s="39" t="s">
        <v>114</v>
      </c>
      <c r="J34" s="132" t="s">
        <v>720</v>
      </c>
      <c r="K34" s="132" t="s">
        <v>719</v>
      </c>
      <c r="L34" s="132" t="e">
        <v>#N/A</v>
      </c>
      <c r="M34" s="132" t="s">
        <v>718</v>
      </c>
      <c r="N34" s="132" t="s">
        <v>1382</v>
      </c>
      <c r="O34" s="132" t="s">
        <v>1383</v>
      </c>
      <c r="P34" s="132" t="s">
        <v>1384</v>
      </c>
      <c r="Q34" s="132" t="s">
        <v>1385</v>
      </c>
      <c r="R34" s="39" t="s">
        <v>118</v>
      </c>
      <c r="S34" s="39" t="e">
        <v>#N/A</v>
      </c>
      <c r="T34" s="39" t="e">
        <v>#N/A</v>
      </c>
      <c r="U34" s="40" t="s">
        <v>128</v>
      </c>
      <c r="V34" s="39" t="e">
        <v>#N/A</v>
      </c>
      <c r="W34" s="39" t="e">
        <v>#N/A</v>
      </c>
      <c r="X34" s="39" t="e">
        <v>#N/A</v>
      </c>
      <c r="Y34" s="39" t="s">
        <v>717</v>
      </c>
      <c r="Z34" s="39" t="s">
        <v>149</v>
      </c>
      <c r="AA34" s="39" t="s">
        <v>157</v>
      </c>
      <c r="AB34" s="132" t="e">
        <v>#N/A</v>
      </c>
      <c r="AC34" s="132" t="e">
        <v>#N/A</v>
      </c>
      <c r="AD34" s="102" t="e">
        <v>#N/A</v>
      </c>
      <c r="AE34" s="102" t="e">
        <v>#N/A</v>
      </c>
      <c r="AF34" s="102" t="e">
        <v>#N/A</v>
      </c>
      <c r="AG34" s="102" t="e">
        <v>#N/A</v>
      </c>
      <c r="AH34" s="41" t="s">
        <v>161</v>
      </c>
      <c r="AI34" s="39" t="s">
        <v>176</v>
      </c>
      <c r="AJ34" s="57" t="s">
        <v>180</v>
      </c>
      <c r="AK34" s="39" t="e">
        <v>#N/A</v>
      </c>
      <c r="AL34" s="39" t="s">
        <v>187</v>
      </c>
      <c r="AM34" s="39" t="e">
        <v>#N/A</v>
      </c>
      <c r="AN34" s="39" t="b">
        <v>0</v>
      </c>
      <c r="AO34" s="39" t="b">
        <v>0</v>
      </c>
      <c r="AP34" s="39" t="b">
        <v>0</v>
      </c>
      <c r="AQ34" s="39" t="b">
        <v>0</v>
      </c>
      <c r="AR34" s="39" t="b">
        <v>0</v>
      </c>
      <c r="AS34" s="39" t="b">
        <v>0</v>
      </c>
      <c r="AT34" s="39" t="b">
        <v>1</v>
      </c>
      <c r="AU34" s="39" t="b">
        <v>0</v>
      </c>
      <c r="AV34" s="39" t="b">
        <v>0</v>
      </c>
      <c r="AW34" s="39" t="b">
        <v>0</v>
      </c>
      <c r="AX34" s="39" t="s">
        <v>195</v>
      </c>
      <c r="AY34" s="39" t="s">
        <v>200</v>
      </c>
      <c r="AZ34" s="39" t="s">
        <v>200</v>
      </c>
      <c r="BA34" s="39" t="s">
        <v>200</v>
      </c>
      <c r="BB34" s="39" t="s">
        <v>200</v>
      </c>
      <c r="BC34" s="39" t="s">
        <v>200</v>
      </c>
      <c r="BD34" s="39" t="s">
        <v>200</v>
      </c>
      <c r="BE34" s="39" t="s">
        <v>249</v>
      </c>
      <c r="BF34" s="37" t="e">
        <v>#N/A</v>
      </c>
      <c r="BG34" s="37" t="e">
        <v>#N/A</v>
      </c>
      <c r="BH34" s="37" t="e">
        <v>#N/A</v>
      </c>
      <c r="BI34" s="39" t="s">
        <v>202</v>
      </c>
      <c r="BJ34" s="39">
        <v>350</v>
      </c>
      <c r="BK34" s="37" t="e">
        <v>#N/A</v>
      </c>
      <c r="BL34" s="39" t="s">
        <v>39</v>
      </c>
      <c r="BM34" s="37" t="e">
        <v>#N/A</v>
      </c>
      <c r="BN34" s="37" t="e">
        <v>#N/A</v>
      </c>
      <c r="BO34" s="37" t="e">
        <v>#N/A</v>
      </c>
      <c r="BP34" s="37" t="e">
        <v>#N/A</v>
      </c>
      <c r="BQ34" s="39" t="s">
        <v>209</v>
      </c>
      <c r="BR34" s="37" t="e">
        <v>#N/A</v>
      </c>
      <c r="BS34" s="39" t="s">
        <v>208</v>
      </c>
      <c r="BT34" s="39" t="s">
        <v>33</v>
      </c>
      <c r="BU34" s="39" t="b">
        <v>0</v>
      </c>
      <c r="BV34" s="39" t="b">
        <v>0</v>
      </c>
      <c r="BW34" s="39" t="b">
        <v>0</v>
      </c>
      <c r="BX34" s="39" t="b">
        <v>0</v>
      </c>
      <c r="BY34" s="39" t="b">
        <v>0</v>
      </c>
      <c r="BZ34" s="39" t="b">
        <v>0</v>
      </c>
      <c r="CA34" s="39" t="b">
        <v>0</v>
      </c>
      <c r="CB34" s="39" t="b">
        <v>0</v>
      </c>
      <c r="CC34" s="39" t="b">
        <v>1</v>
      </c>
      <c r="CD34" s="39" t="s">
        <v>716</v>
      </c>
      <c r="CE34" s="39" t="b">
        <v>0</v>
      </c>
      <c r="CF34" s="39" t="b">
        <v>0</v>
      </c>
      <c r="CG34" s="39" t="b">
        <v>0</v>
      </c>
      <c r="CH34" s="39" t="b">
        <v>0</v>
      </c>
      <c r="CI34" s="39" t="b">
        <v>0</v>
      </c>
      <c r="CJ34" s="39" t="b">
        <v>0</v>
      </c>
      <c r="CK34" s="39" t="b">
        <v>0</v>
      </c>
      <c r="CL34" s="39" t="b">
        <v>0</v>
      </c>
      <c r="CM34" s="39" t="b">
        <v>0</v>
      </c>
      <c r="CN34" s="39" t="s">
        <v>39</v>
      </c>
      <c r="CO34" s="57" t="e">
        <v>#N/A</v>
      </c>
      <c r="CP34" s="39" t="e">
        <v>#N/A</v>
      </c>
      <c r="CQ34" s="39" t="e">
        <v>#N/A</v>
      </c>
      <c r="CR34" s="37" t="e">
        <v>#N/A</v>
      </c>
      <c r="CS34" s="37" t="e">
        <v>#N/A</v>
      </c>
      <c r="CT34" s="37" t="e">
        <v>#N/A</v>
      </c>
      <c r="CU34" s="37" t="e">
        <v>#N/A</v>
      </c>
      <c r="CV34" s="37" t="e">
        <v>#N/A</v>
      </c>
      <c r="CW34" s="37" t="e">
        <v>#N/A</v>
      </c>
      <c r="CX34" s="39" t="b">
        <v>0</v>
      </c>
      <c r="CY34" s="39" t="b">
        <v>0</v>
      </c>
      <c r="CZ34" s="39" t="b">
        <v>0</v>
      </c>
      <c r="DA34" s="39" t="b">
        <v>0</v>
      </c>
      <c r="DB34" s="39" t="b">
        <v>1</v>
      </c>
      <c r="DC34" s="39" t="b">
        <v>0</v>
      </c>
      <c r="DD34" s="39" t="b">
        <v>0</v>
      </c>
      <c r="DE34" s="39" t="b">
        <v>0</v>
      </c>
      <c r="DF34" s="132" t="s">
        <v>1386</v>
      </c>
      <c r="DG34" s="39" t="s">
        <v>234</v>
      </c>
      <c r="DH34" s="39" t="s">
        <v>233</v>
      </c>
      <c r="DI34" s="39" t="s">
        <v>714</v>
      </c>
      <c r="DJ34" s="39" t="s">
        <v>715</v>
      </c>
      <c r="DK34" s="39" t="s">
        <v>714</v>
      </c>
      <c r="DL34" s="39" t="s">
        <v>231</v>
      </c>
      <c r="DM34" s="39" t="b">
        <f t="shared" si="0"/>
        <v>0</v>
      </c>
      <c r="DN34" s="38" t="str">
        <f t="shared" si="1"/>
        <v>2580_Indu_Z 25_ktion_1 M_10 _bi_F</v>
      </c>
    </row>
    <row r="35" spans="1:118" ht="15.75" customHeight="1" x14ac:dyDescent="0.25">
      <c r="A35" s="37">
        <v>30</v>
      </c>
      <c r="C35" s="37">
        <v>4412</v>
      </c>
      <c r="D35" s="132" t="s">
        <v>596</v>
      </c>
      <c r="E35" s="57" t="s">
        <v>109</v>
      </c>
      <c r="F35" s="132" t="s">
        <v>595</v>
      </c>
      <c r="G35" s="132" t="s">
        <v>594</v>
      </c>
      <c r="H35" s="132">
        <v>92706</v>
      </c>
      <c r="I35" s="39" t="s">
        <v>114</v>
      </c>
      <c r="J35" s="132" t="s">
        <v>590</v>
      </c>
      <c r="K35" s="132" t="s">
        <v>593</v>
      </c>
      <c r="L35" s="132" t="s">
        <v>592</v>
      </c>
      <c r="M35" s="132" t="s">
        <v>591</v>
      </c>
      <c r="N35" s="132" t="s">
        <v>1387</v>
      </c>
      <c r="O35" s="132" t="s">
        <v>1388</v>
      </c>
      <c r="P35" s="132" t="s">
        <v>590</v>
      </c>
      <c r="Q35" s="132" t="e">
        <v>#N/A</v>
      </c>
      <c r="R35" s="39" t="s">
        <v>118</v>
      </c>
      <c r="S35" s="39" t="e">
        <v>#N/A</v>
      </c>
      <c r="T35" s="39" t="e">
        <v>#N/A</v>
      </c>
      <c r="U35" s="40" t="s">
        <v>128</v>
      </c>
      <c r="V35" s="39" t="e">
        <v>#N/A</v>
      </c>
      <c r="W35" s="39" t="e">
        <v>#N/A</v>
      </c>
      <c r="X35" s="39" t="e">
        <v>#N/A</v>
      </c>
      <c r="Y35" s="39" t="s">
        <v>589</v>
      </c>
      <c r="Z35" s="39" t="s">
        <v>148</v>
      </c>
      <c r="AA35" s="39" t="s">
        <v>156</v>
      </c>
      <c r="AB35" s="132" t="e">
        <v>#N/A</v>
      </c>
      <c r="AC35" s="132" t="e">
        <v>#N/A</v>
      </c>
      <c r="AD35" s="102" t="e">
        <v>#N/A</v>
      </c>
      <c r="AE35" s="102" t="e">
        <v>#N/A</v>
      </c>
      <c r="AF35" s="102" t="e">
        <v>#N/A</v>
      </c>
      <c r="AG35" s="102" t="e">
        <v>#N/A</v>
      </c>
      <c r="AH35" s="41" t="s">
        <v>161</v>
      </c>
      <c r="AI35" s="39" t="s">
        <v>177</v>
      </c>
      <c r="AJ35" s="39" t="s">
        <v>182</v>
      </c>
      <c r="AK35" s="39" t="e">
        <v>#N/A</v>
      </c>
      <c r="AL35" s="39" t="s">
        <v>187</v>
      </c>
      <c r="AM35" s="39" t="e">
        <v>#N/A</v>
      </c>
      <c r="AN35" s="39" t="b">
        <v>1</v>
      </c>
      <c r="AO35" s="39" t="b">
        <v>1</v>
      </c>
      <c r="AP35" s="39" t="b">
        <v>0</v>
      </c>
      <c r="AQ35" s="39" t="b">
        <v>0</v>
      </c>
      <c r="AR35" s="39" t="b">
        <v>0</v>
      </c>
      <c r="AS35" s="39" t="b">
        <v>0</v>
      </c>
      <c r="AT35" s="39" t="b">
        <v>0</v>
      </c>
      <c r="AU35" s="39" t="b">
        <v>0</v>
      </c>
      <c r="AV35" s="39" t="b">
        <v>0</v>
      </c>
      <c r="AW35" s="39" t="b">
        <v>0</v>
      </c>
      <c r="AX35" s="39" t="s">
        <v>194</v>
      </c>
      <c r="AY35" s="39" t="s">
        <v>200</v>
      </c>
      <c r="AZ35" s="39" t="s">
        <v>200</v>
      </c>
      <c r="BA35" s="39" t="s">
        <v>200</v>
      </c>
      <c r="BB35" s="39" t="s">
        <v>200</v>
      </c>
      <c r="BC35" s="39" t="s">
        <v>200</v>
      </c>
      <c r="BD35" s="39" t="s">
        <v>200</v>
      </c>
      <c r="BE35" s="39" t="s">
        <v>202</v>
      </c>
      <c r="BF35" s="37" t="e">
        <v>#N/A</v>
      </c>
      <c r="BG35" s="37" t="e">
        <v>#N/A</v>
      </c>
      <c r="BH35" s="39" t="s">
        <v>39</v>
      </c>
      <c r="BI35" s="39" t="e">
        <v>#N/A</v>
      </c>
      <c r="BJ35" s="37" t="e">
        <v>#N/A</v>
      </c>
      <c r="BK35" s="37" t="e">
        <v>#N/A</v>
      </c>
      <c r="BL35" s="37" t="e">
        <v>#N/A</v>
      </c>
      <c r="BM35" s="37" t="e">
        <v>#N/A</v>
      </c>
      <c r="BN35" s="37" t="e">
        <v>#N/A</v>
      </c>
      <c r="BO35" s="37" t="e">
        <v>#N/A</v>
      </c>
      <c r="BP35" s="37" t="e">
        <v>#N/A</v>
      </c>
      <c r="BQ35" s="39" t="s">
        <v>209</v>
      </c>
      <c r="BR35" s="39" t="s">
        <v>104</v>
      </c>
      <c r="BS35" s="39" t="s">
        <v>208</v>
      </c>
      <c r="BT35" s="39" t="s">
        <v>33</v>
      </c>
      <c r="BU35" s="39" t="b">
        <v>0</v>
      </c>
      <c r="BV35" s="39" t="b">
        <v>0</v>
      </c>
      <c r="BW35" s="39" t="b">
        <v>0</v>
      </c>
      <c r="BX35" s="39" t="b">
        <v>0</v>
      </c>
      <c r="BY35" s="39" t="b">
        <v>0</v>
      </c>
      <c r="BZ35" s="39" t="b">
        <v>0</v>
      </c>
      <c r="CA35" s="39" t="b">
        <v>0</v>
      </c>
      <c r="CB35" s="39" t="b">
        <v>0</v>
      </c>
      <c r="CC35" s="39" t="b">
        <v>1</v>
      </c>
      <c r="CD35" s="39" t="s">
        <v>588</v>
      </c>
      <c r="CE35" s="39" t="b">
        <v>0</v>
      </c>
      <c r="CF35" s="39" t="b">
        <v>0</v>
      </c>
      <c r="CG35" s="39" t="b">
        <v>0</v>
      </c>
      <c r="CH35" s="39" t="b">
        <v>0</v>
      </c>
      <c r="CI35" s="39" t="b">
        <v>0</v>
      </c>
      <c r="CJ35" s="39" t="b">
        <v>0</v>
      </c>
      <c r="CK35" s="39" t="b">
        <v>0</v>
      </c>
      <c r="CL35" s="39" t="b">
        <v>0</v>
      </c>
      <c r="CM35" s="39" t="b">
        <v>0</v>
      </c>
      <c r="CN35" s="39" t="s">
        <v>39</v>
      </c>
      <c r="CO35" s="57" t="e">
        <v>#N/A</v>
      </c>
      <c r="CP35" s="39" t="e">
        <v>#N/A</v>
      </c>
      <c r="CQ35" s="39" t="e">
        <v>#N/A</v>
      </c>
      <c r="CR35" s="37" t="e">
        <v>#N/A</v>
      </c>
      <c r="CS35" s="37" t="e">
        <v>#N/A</v>
      </c>
      <c r="CT35" s="37" t="e">
        <v>#N/A</v>
      </c>
      <c r="CU35" s="37" t="e">
        <v>#N/A</v>
      </c>
      <c r="CV35" s="37" t="e">
        <v>#N/A</v>
      </c>
      <c r="CW35" s="37" t="e">
        <v>#N/A</v>
      </c>
      <c r="CX35" s="39" t="b">
        <v>0</v>
      </c>
      <c r="CY35" s="39" t="b">
        <v>1</v>
      </c>
      <c r="CZ35" s="39" t="b">
        <v>1</v>
      </c>
      <c r="DA35" s="39" t="b">
        <v>0</v>
      </c>
      <c r="DB35" s="39" t="b">
        <v>1</v>
      </c>
      <c r="DC35" s="39" t="b">
        <v>1</v>
      </c>
      <c r="DD35" s="39" t="b">
        <v>0</v>
      </c>
      <c r="DE35" s="39" t="b">
        <v>0</v>
      </c>
      <c r="DF35" s="132" t="e">
        <v>#N/A</v>
      </c>
      <c r="DG35" s="39" t="s">
        <v>424</v>
      </c>
      <c r="DH35" s="39">
        <v>40695</v>
      </c>
      <c r="DI35" s="39">
        <v>40710</v>
      </c>
      <c r="DJ35" s="39">
        <v>40695</v>
      </c>
      <c r="DK35" s="39">
        <v>40710</v>
      </c>
      <c r="DL35" s="37" t="s">
        <v>348</v>
      </c>
      <c r="DM35" s="39" t="b">
        <f t="shared" si="0"/>
        <v>0</v>
      </c>
      <c r="DN35" s="38" t="str">
        <f t="shared" si="1"/>
        <v>4412_Indu_Z 25_ktion_5 M_50 _bi_F</v>
      </c>
    </row>
    <row r="36" spans="1:118" x14ac:dyDescent="0.25">
      <c r="A36" s="37">
        <v>31</v>
      </c>
      <c r="C36" s="37">
        <v>2209</v>
      </c>
      <c r="D36" s="102" t="s">
        <v>732</v>
      </c>
      <c r="E36" s="58" t="s">
        <v>110</v>
      </c>
      <c r="F36" s="102" t="s">
        <v>731</v>
      </c>
      <c r="G36" s="102" t="s">
        <v>263</v>
      </c>
      <c r="H36" s="102">
        <v>92637</v>
      </c>
      <c r="I36" s="37" t="s">
        <v>114</v>
      </c>
      <c r="J36" s="102" t="s">
        <v>730</v>
      </c>
      <c r="K36" s="102" t="s">
        <v>729</v>
      </c>
      <c r="L36" s="102" t="s">
        <v>728</v>
      </c>
      <c r="M36" s="102" t="s">
        <v>727</v>
      </c>
      <c r="N36" s="102" t="s">
        <v>1389</v>
      </c>
      <c r="O36" s="102" t="s">
        <v>1390</v>
      </c>
      <c r="P36" s="132" t="e">
        <v>#N/A</v>
      </c>
      <c r="Q36" s="132" t="e">
        <v>#N/A</v>
      </c>
      <c r="R36" s="37" t="s">
        <v>118</v>
      </c>
      <c r="S36" s="39" t="e">
        <v>#N/A</v>
      </c>
      <c r="T36" s="39" t="e">
        <v>#N/A</v>
      </c>
      <c r="U36" s="41" t="s">
        <v>624</v>
      </c>
      <c r="V36" s="39" t="e">
        <v>#N/A</v>
      </c>
      <c r="W36" s="39" t="e">
        <v>#N/A</v>
      </c>
      <c r="X36" s="39" t="e">
        <v>#N/A</v>
      </c>
      <c r="Y36" s="37" t="s">
        <v>726</v>
      </c>
      <c r="Z36" s="37" t="s">
        <v>148</v>
      </c>
      <c r="AA36" s="37" t="s">
        <v>156</v>
      </c>
      <c r="AB36" s="132" t="e">
        <v>#N/A</v>
      </c>
      <c r="AC36" s="132" t="e">
        <v>#N/A</v>
      </c>
      <c r="AD36" s="102" t="e">
        <v>#N/A</v>
      </c>
      <c r="AE36" s="102" t="e">
        <v>#N/A</v>
      </c>
      <c r="AF36" s="102" t="e">
        <v>#N/A</v>
      </c>
      <c r="AG36" s="102" t="e">
        <v>#N/A</v>
      </c>
      <c r="AH36" s="41" t="s">
        <v>161</v>
      </c>
      <c r="AI36" s="39" t="e">
        <v>#N/A</v>
      </c>
      <c r="AJ36" s="37" t="s">
        <v>182</v>
      </c>
      <c r="AK36" s="39" t="e">
        <v>#N/A</v>
      </c>
      <c r="AL36" s="37" t="e">
        <v>#N/A</v>
      </c>
      <c r="AM36" s="39" t="e">
        <v>#N/A</v>
      </c>
      <c r="AN36" s="37" t="b">
        <v>0</v>
      </c>
      <c r="AO36" s="37" t="b">
        <v>0</v>
      </c>
      <c r="AP36" s="37" t="b">
        <v>0</v>
      </c>
      <c r="AQ36" s="37" t="b">
        <v>0</v>
      </c>
      <c r="AR36" s="37" t="b">
        <v>0</v>
      </c>
      <c r="AS36" s="37" t="b">
        <v>0</v>
      </c>
      <c r="AT36" s="37" t="b">
        <v>1</v>
      </c>
      <c r="AU36" s="37" t="b">
        <v>1</v>
      </c>
      <c r="AV36" s="37" t="b">
        <v>0</v>
      </c>
      <c r="AW36" s="37" t="b">
        <v>0</v>
      </c>
      <c r="AX36" s="37" t="s">
        <v>194</v>
      </c>
      <c r="AY36" s="37" t="e">
        <v>#N/A</v>
      </c>
      <c r="AZ36" s="37" t="e">
        <v>#N/A</v>
      </c>
      <c r="BA36" s="37" t="e">
        <v>#N/A</v>
      </c>
      <c r="BB36" s="37" t="e">
        <v>#N/A</v>
      </c>
      <c r="BC36" s="37" t="e">
        <v>#N/A</v>
      </c>
      <c r="BD36" s="37" t="e">
        <v>#N/A</v>
      </c>
      <c r="BE36" s="37" t="s">
        <v>725</v>
      </c>
      <c r="BF36" s="37" t="e">
        <v>#N/A</v>
      </c>
      <c r="BG36" s="37" t="e">
        <v>#N/A</v>
      </c>
      <c r="BH36" s="37" t="e">
        <v>#N/A</v>
      </c>
      <c r="BI36" s="37" t="s">
        <v>202</v>
      </c>
      <c r="BJ36" s="37" t="e">
        <v>#N/A</v>
      </c>
      <c r="BK36" s="37" t="e">
        <v>#N/A</v>
      </c>
      <c r="BL36" s="37" t="e">
        <v>#N/A</v>
      </c>
      <c r="BM36" s="37" t="s">
        <v>205</v>
      </c>
      <c r="BN36" s="37" t="e">
        <v>#N/A</v>
      </c>
      <c r="BO36" s="37" t="e">
        <v>#N/A</v>
      </c>
      <c r="BP36" s="37" t="e">
        <v>#N/A</v>
      </c>
      <c r="BQ36" s="37" t="s">
        <v>208</v>
      </c>
      <c r="BR36" s="37" t="s">
        <v>104</v>
      </c>
      <c r="BS36" s="37" t="s">
        <v>209</v>
      </c>
      <c r="BT36" s="37" t="s">
        <v>33</v>
      </c>
      <c r="BU36" s="37" t="b">
        <v>0</v>
      </c>
      <c r="BV36" s="37" t="b">
        <v>0</v>
      </c>
      <c r="BW36" s="37" t="b">
        <v>0</v>
      </c>
      <c r="BX36" s="37" t="b">
        <v>0</v>
      </c>
      <c r="BY36" s="37" t="b">
        <v>0</v>
      </c>
      <c r="BZ36" s="37" t="b">
        <v>0</v>
      </c>
      <c r="CA36" s="37" t="b">
        <v>0</v>
      </c>
      <c r="CB36" s="37" t="b">
        <v>0</v>
      </c>
      <c r="CC36" s="37" t="b">
        <v>1</v>
      </c>
      <c r="CD36" s="39" t="e">
        <v>#N/A</v>
      </c>
      <c r="CE36" s="37" t="b">
        <v>0</v>
      </c>
      <c r="CF36" s="37" t="b">
        <v>0</v>
      </c>
      <c r="CG36" s="37" t="b">
        <v>0</v>
      </c>
      <c r="CH36" s="37" t="b">
        <v>0</v>
      </c>
      <c r="CI36" s="37" t="b">
        <v>0</v>
      </c>
      <c r="CJ36" s="37" t="b">
        <v>0</v>
      </c>
      <c r="CK36" s="37" t="b">
        <v>0</v>
      </c>
      <c r="CL36" s="37" t="b">
        <v>0</v>
      </c>
      <c r="CM36" s="37" t="b">
        <v>0</v>
      </c>
      <c r="CN36" s="37" t="s">
        <v>39</v>
      </c>
      <c r="CO36" s="57" t="e">
        <v>#N/A</v>
      </c>
      <c r="CP36" s="39" t="e">
        <v>#N/A</v>
      </c>
      <c r="CQ36" s="39" t="e">
        <v>#N/A</v>
      </c>
      <c r="CR36" s="37" t="e">
        <v>#N/A</v>
      </c>
      <c r="CS36" s="37" t="e">
        <v>#N/A</v>
      </c>
      <c r="CT36" s="37" t="e">
        <v>#N/A</v>
      </c>
      <c r="CU36" s="37" t="e">
        <v>#N/A</v>
      </c>
      <c r="CV36" s="37" t="e">
        <v>#N/A</v>
      </c>
      <c r="CW36" s="37" t="s">
        <v>219</v>
      </c>
      <c r="CX36" s="37" t="b">
        <v>0</v>
      </c>
      <c r="CY36" s="37" t="b">
        <v>0</v>
      </c>
      <c r="CZ36" s="37" t="b">
        <v>0</v>
      </c>
      <c r="DA36" s="37" t="b">
        <v>0</v>
      </c>
      <c r="DB36" s="37" t="b">
        <v>0</v>
      </c>
      <c r="DC36" s="37" t="b">
        <v>0</v>
      </c>
      <c r="DD36" s="37" t="b">
        <v>0</v>
      </c>
      <c r="DE36" s="37" t="b">
        <v>0</v>
      </c>
      <c r="DF36" s="102" t="s">
        <v>1391</v>
      </c>
      <c r="DG36" s="37" t="s">
        <v>256</v>
      </c>
      <c r="DH36" s="37">
        <v>40674</v>
      </c>
      <c r="DI36" s="37">
        <v>40682</v>
      </c>
      <c r="DJ36" s="37" t="s">
        <v>724</v>
      </c>
      <c r="DK36" s="37">
        <v>40682</v>
      </c>
      <c r="DL36" s="37" t="s">
        <v>246</v>
      </c>
      <c r="DM36" s="39" t="b">
        <f t="shared" si="0"/>
        <v>0</v>
      </c>
      <c r="DN36" s="38" t="str">
        <f t="shared" si="1"/>
        <v>2209_Indu_Z 28_ktion_XXX_50 _XX_F</v>
      </c>
    </row>
    <row r="37" spans="1:118" ht="15.75" customHeight="1" x14ac:dyDescent="0.25">
      <c r="A37" s="37">
        <v>32</v>
      </c>
      <c r="C37" s="37">
        <v>5041</v>
      </c>
      <c r="D37" s="102" t="s">
        <v>563</v>
      </c>
      <c r="E37" s="58" t="s">
        <v>109</v>
      </c>
      <c r="F37" s="102" t="s">
        <v>562</v>
      </c>
      <c r="G37" s="102" t="s">
        <v>561</v>
      </c>
      <c r="H37" s="102">
        <v>92237</v>
      </c>
      <c r="I37" s="37" t="s">
        <v>114</v>
      </c>
      <c r="J37" s="102" t="s">
        <v>560</v>
      </c>
      <c r="K37" s="102" t="s">
        <v>559</v>
      </c>
      <c r="L37" s="102" t="s">
        <v>558</v>
      </c>
      <c r="M37" s="102" t="s">
        <v>557</v>
      </c>
      <c r="N37" s="102" t="s">
        <v>1392</v>
      </c>
      <c r="O37" s="102" t="s">
        <v>1393</v>
      </c>
      <c r="P37" s="102" t="s">
        <v>1394</v>
      </c>
      <c r="Q37" s="102" t="s">
        <v>1395</v>
      </c>
      <c r="R37" s="37" t="e">
        <v>#N/A</v>
      </c>
      <c r="S37" s="37" t="s">
        <v>117</v>
      </c>
      <c r="T37" s="37" t="s">
        <v>118</v>
      </c>
      <c r="U37" s="41" t="s">
        <v>1025</v>
      </c>
      <c r="V37" s="39" t="e">
        <v>#N/A</v>
      </c>
      <c r="W37" s="39" t="e">
        <v>#N/A</v>
      </c>
      <c r="X37" s="39" t="e">
        <v>#N/A</v>
      </c>
      <c r="Y37" s="37" t="s">
        <v>556</v>
      </c>
      <c r="Z37" s="37" t="s">
        <v>150</v>
      </c>
      <c r="AA37" s="37" t="s">
        <v>159</v>
      </c>
      <c r="AB37" s="132" t="e">
        <v>#N/A</v>
      </c>
      <c r="AC37" s="102" t="s">
        <v>1396</v>
      </c>
      <c r="AD37" s="102" t="s">
        <v>1397</v>
      </c>
      <c r="AE37" s="102" t="e">
        <v>#N/A</v>
      </c>
      <c r="AF37" s="102" t="e">
        <v>#N/A</v>
      </c>
      <c r="AG37" s="102" t="e">
        <v>#N/A</v>
      </c>
      <c r="AH37" s="41" t="s">
        <v>161</v>
      </c>
      <c r="AI37" s="37" t="s">
        <v>177</v>
      </c>
      <c r="AJ37" s="37" t="s">
        <v>184</v>
      </c>
      <c r="AK37" s="37">
        <v>245</v>
      </c>
      <c r="AL37" s="37" t="s">
        <v>187</v>
      </c>
      <c r="AM37" s="39" t="e">
        <v>#N/A</v>
      </c>
      <c r="AN37" s="37" t="b">
        <v>1</v>
      </c>
      <c r="AO37" s="37" t="b">
        <v>1</v>
      </c>
      <c r="AP37" s="37" t="b">
        <v>1</v>
      </c>
      <c r="AQ37" s="37" t="b">
        <v>0</v>
      </c>
      <c r="AR37" s="37" t="b">
        <v>0</v>
      </c>
      <c r="AS37" s="37" t="b">
        <v>0</v>
      </c>
      <c r="AT37" s="37" t="b">
        <v>0</v>
      </c>
      <c r="AU37" s="37" t="b">
        <v>0</v>
      </c>
      <c r="AV37" s="37" t="b">
        <v>0</v>
      </c>
      <c r="AW37" s="37" t="b">
        <v>0</v>
      </c>
      <c r="AX37" s="37" t="s">
        <v>195</v>
      </c>
      <c r="AY37" s="37" t="s">
        <v>196</v>
      </c>
      <c r="AZ37" s="37" t="s">
        <v>199</v>
      </c>
      <c r="BA37" s="37" t="s">
        <v>196</v>
      </c>
      <c r="BB37" s="37" t="s">
        <v>196</v>
      </c>
      <c r="BC37" s="37" t="s">
        <v>196</v>
      </c>
      <c r="BD37" s="37" t="s">
        <v>199</v>
      </c>
      <c r="BE37" s="37" t="s">
        <v>249</v>
      </c>
      <c r="BF37" s="37" t="s">
        <v>555</v>
      </c>
      <c r="BG37" s="37" t="s">
        <v>207</v>
      </c>
      <c r="BH37" s="37" t="s">
        <v>278</v>
      </c>
      <c r="BI37" s="37" t="s">
        <v>202</v>
      </c>
      <c r="BJ37" s="37" t="s">
        <v>554</v>
      </c>
      <c r="BK37" s="37" t="s">
        <v>553</v>
      </c>
      <c r="BL37" s="37" t="s">
        <v>39</v>
      </c>
      <c r="BM37" s="37" t="s">
        <v>205</v>
      </c>
      <c r="BN37" s="37" t="s">
        <v>552</v>
      </c>
      <c r="BO37" s="37" t="s">
        <v>551</v>
      </c>
      <c r="BP37" s="37" t="s">
        <v>477</v>
      </c>
      <c r="BQ37" s="37" t="s">
        <v>209</v>
      </c>
      <c r="BR37" s="37" t="s">
        <v>104</v>
      </c>
      <c r="BS37" s="37" t="s">
        <v>208</v>
      </c>
      <c r="BT37" s="37" t="s">
        <v>39</v>
      </c>
      <c r="BU37" s="37" t="b">
        <v>1</v>
      </c>
      <c r="BV37" s="37" t="b">
        <v>0</v>
      </c>
      <c r="BW37" s="37" t="b">
        <v>1</v>
      </c>
      <c r="BX37" s="37" t="b">
        <v>1</v>
      </c>
      <c r="BY37" s="37" t="b">
        <v>1</v>
      </c>
      <c r="BZ37" s="37" t="b">
        <v>0</v>
      </c>
      <c r="CA37" s="37" t="b">
        <v>1</v>
      </c>
      <c r="CB37" s="37" t="b">
        <v>0</v>
      </c>
      <c r="CC37" s="37" t="b">
        <v>0</v>
      </c>
      <c r="CD37" s="39" t="e">
        <v>#N/A</v>
      </c>
      <c r="CE37" s="37" t="b">
        <v>0</v>
      </c>
      <c r="CF37" s="37" t="b">
        <v>0</v>
      </c>
      <c r="CG37" s="37" t="b">
        <v>0</v>
      </c>
      <c r="CH37" s="37" t="b">
        <v>0</v>
      </c>
      <c r="CI37" s="37" t="b">
        <v>0</v>
      </c>
      <c r="CJ37" s="37" t="b">
        <v>0</v>
      </c>
      <c r="CK37" s="37" t="b">
        <v>0</v>
      </c>
      <c r="CL37" s="37" t="b">
        <v>0</v>
      </c>
      <c r="CM37" s="37" t="b">
        <v>1</v>
      </c>
      <c r="CN37" s="37" t="s">
        <v>39</v>
      </c>
      <c r="CO37" s="57" t="e">
        <v>#N/A</v>
      </c>
      <c r="CP37" s="39" t="e">
        <v>#N/A</v>
      </c>
      <c r="CQ37" s="39" t="e">
        <v>#N/A</v>
      </c>
      <c r="CR37" s="37" t="e">
        <v>#N/A</v>
      </c>
      <c r="CS37" s="37" t="e">
        <v>#N/A</v>
      </c>
      <c r="CT37" s="37" t="e">
        <v>#N/A</v>
      </c>
      <c r="CU37" s="37" t="e">
        <v>#N/A</v>
      </c>
      <c r="CV37" s="37" t="e">
        <v>#N/A</v>
      </c>
      <c r="CW37" s="37" t="e">
        <v>#N/A</v>
      </c>
      <c r="CX37" s="37" t="b">
        <v>0</v>
      </c>
      <c r="CY37" s="37" t="b">
        <v>0</v>
      </c>
      <c r="CZ37" s="37" t="b">
        <v>0</v>
      </c>
      <c r="DA37" s="37" t="b">
        <v>0</v>
      </c>
      <c r="DB37" s="37" t="b">
        <v>0</v>
      </c>
      <c r="DC37" s="37" t="b">
        <v>0</v>
      </c>
      <c r="DD37" s="37" t="b">
        <v>0</v>
      </c>
      <c r="DE37" s="37" t="b">
        <v>0</v>
      </c>
      <c r="DF37" s="102" t="s">
        <v>1398</v>
      </c>
      <c r="DG37" s="37" t="s">
        <v>550</v>
      </c>
      <c r="DH37" s="37">
        <v>40661</v>
      </c>
      <c r="DI37" s="37">
        <v>40680</v>
      </c>
      <c r="DJ37" s="37">
        <v>40680</v>
      </c>
      <c r="DK37" s="37">
        <v>40681</v>
      </c>
      <c r="DL37" s="37" t="s">
        <v>246</v>
      </c>
      <c r="DM37" s="39" t="b">
        <f t="shared" si="0"/>
        <v>1</v>
      </c>
      <c r="DN37" s="38" t="str">
        <f t="shared" si="1"/>
        <v>5041_XXXX_Z 13_ktion_5 M_200_bi_W</v>
      </c>
    </row>
    <row r="38" spans="1:118" ht="15.75" customHeight="1" x14ac:dyDescent="0.25">
      <c r="A38" s="37">
        <v>33</v>
      </c>
      <c r="C38" s="37">
        <v>2693</v>
      </c>
      <c r="D38" s="132" t="s">
        <v>705</v>
      </c>
      <c r="E38" s="57" t="s">
        <v>109</v>
      </c>
      <c r="F38" s="132" t="s">
        <v>704</v>
      </c>
      <c r="G38" s="132" t="s">
        <v>263</v>
      </c>
      <c r="H38" s="132">
        <v>92637</v>
      </c>
      <c r="I38" s="39" t="s">
        <v>114</v>
      </c>
      <c r="J38" s="132" t="s">
        <v>703</v>
      </c>
      <c r="K38" s="132" t="s">
        <v>702</v>
      </c>
      <c r="L38" s="132" t="s">
        <v>701</v>
      </c>
      <c r="M38" s="132" t="s">
        <v>700</v>
      </c>
      <c r="N38" s="132" t="s">
        <v>1399</v>
      </c>
      <c r="O38" s="132" t="s">
        <v>1400</v>
      </c>
      <c r="P38" s="132" t="s">
        <v>1401</v>
      </c>
      <c r="Q38" s="132" t="s">
        <v>1402</v>
      </c>
      <c r="R38" s="39" t="s">
        <v>123</v>
      </c>
      <c r="S38" s="39" t="e">
        <v>#N/A</v>
      </c>
      <c r="T38" s="39" t="e">
        <v>#N/A</v>
      </c>
      <c r="U38" s="40" t="s">
        <v>134</v>
      </c>
      <c r="V38" s="39" t="e">
        <v>#N/A</v>
      </c>
      <c r="W38" s="39" t="e">
        <v>#N/A</v>
      </c>
      <c r="X38" s="39" t="e">
        <v>#N/A</v>
      </c>
      <c r="Y38" s="39" t="s">
        <v>699</v>
      </c>
      <c r="Z38" s="39" t="s">
        <v>150</v>
      </c>
      <c r="AA38" s="39" t="s">
        <v>157</v>
      </c>
      <c r="AB38" s="132" t="e">
        <v>#N/A</v>
      </c>
      <c r="AC38" s="132" t="e">
        <v>#N/A</v>
      </c>
      <c r="AD38" s="102" t="e">
        <v>#N/A</v>
      </c>
      <c r="AE38" s="102" t="e">
        <v>#N/A</v>
      </c>
      <c r="AF38" s="102" t="e">
        <v>#N/A</v>
      </c>
      <c r="AG38" s="102" t="e">
        <v>#N/A</v>
      </c>
      <c r="AH38" s="41" t="s">
        <v>162</v>
      </c>
      <c r="AI38" s="39" t="s">
        <v>178</v>
      </c>
      <c r="AJ38" s="39" t="s">
        <v>186</v>
      </c>
      <c r="AK38" s="39" t="e">
        <v>#N/A</v>
      </c>
      <c r="AL38" s="39" t="s">
        <v>189</v>
      </c>
      <c r="AM38" s="39" t="e">
        <v>#N/A</v>
      </c>
      <c r="AN38" s="39" t="b">
        <v>0</v>
      </c>
      <c r="AO38" s="39" t="b">
        <v>0</v>
      </c>
      <c r="AP38" s="39" t="b">
        <v>0</v>
      </c>
      <c r="AQ38" s="39" t="b">
        <v>0</v>
      </c>
      <c r="AR38" s="39" t="b">
        <v>0</v>
      </c>
      <c r="AS38" s="39" t="b">
        <v>0</v>
      </c>
      <c r="AT38" s="39" t="b">
        <v>1</v>
      </c>
      <c r="AU38" s="39" t="b">
        <v>1</v>
      </c>
      <c r="AV38" s="39" t="b">
        <v>0</v>
      </c>
      <c r="AW38" s="39" t="b">
        <v>0</v>
      </c>
      <c r="AX38" s="39" t="s">
        <v>33</v>
      </c>
      <c r="AY38" s="39" t="s">
        <v>199</v>
      </c>
      <c r="AZ38" s="39" t="s">
        <v>199</v>
      </c>
      <c r="BA38" s="39" t="s">
        <v>198</v>
      </c>
      <c r="BB38" s="39" t="s">
        <v>199</v>
      </c>
      <c r="BC38" s="39" t="s">
        <v>199</v>
      </c>
      <c r="BD38" s="39" t="s">
        <v>199</v>
      </c>
      <c r="BE38" s="39" t="s">
        <v>202</v>
      </c>
      <c r="BF38" s="37" t="e">
        <v>#N/A</v>
      </c>
      <c r="BG38" s="37" t="e">
        <v>#N/A</v>
      </c>
      <c r="BH38" s="39" t="s">
        <v>33</v>
      </c>
      <c r="BI38" s="39" t="s">
        <v>205</v>
      </c>
      <c r="BJ38" s="37" t="e">
        <v>#N/A</v>
      </c>
      <c r="BK38" s="37" t="e">
        <v>#N/A</v>
      </c>
      <c r="BL38" s="39" t="s">
        <v>33</v>
      </c>
      <c r="BM38" s="39" t="s">
        <v>206</v>
      </c>
      <c r="BN38" s="37" t="e">
        <v>#N/A</v>
      </c>
      <c r="BO38" s="37" t="e">
        <v>#N/A</v>
      </c>
      <c r="BP38" s="39" t="s">
        <v>33</v>
      </c>
      <c r="BQ38" s="37" t="e">
        <v>#N/A</v>
      </c>
      <c r="BR38" s="37" t="e">
        <v>#N/A</v>
      </c>
      <c r="BS38" s="37" t="e">
        <v>#N/A</v>
      </c>
      <c r="BT38" s="39" t="s">
        <v>33</v>
      </c>
      <c r="BU38" s="39" t="b">
        <v>0</v>
      </c>
      <c r="BV38" s="39" t="b">
        <v>0</v>
      </c>
      <c r="BW38" s="39" t="b">
        <v>0</v>
      </c>
      <c r="BX38" s="39" t="b">
        <v>0</v>
      </c>
      <c r="BY38" s="39" t="b">
        <v>0</v>
      </c>
      <c r="BZ38" s="39" t="b">
        <v>0</v>
      </c>
      <c r="CA38" s="39" t="b">
        <v>0</v>
      </c>
      <c r="CB38" s="39" t="b">
        <v>0</v>
      </c>
      <c r="CC38" s="39" t="b">
        <v>1</v>
      </c>
      <c r="CD38" s="39" t="s">
        <v>660</v>
      </c>
      <c r="CE38" s="39" t="b">
        <v>0</v>
      </c>
      <c r="CF38" s="39" t="b">
        <v>0</v>
      </c>
      <c r="CG38" s="39" t="b">
        <v>0</v>
      </c>
      <c r="CH38" s="39" t="b">
        <v>0</v>
      </c>
      <c r="CI38" s="39" t="b">
        <v>0</v>
      </c>
      <c r="CJ38" s="39" t="b">
        <v>1</v>
      </c>
      <c r="CK38" s="39" t="b">
        <v>1</v>
      </c>
      <c r="CL38" s="39" t="b">
        <v>0</v>
      </c>
      <c r="CM38" s="39" t="b">
        <v>0</v>
      </c>
      <c r="CN38" s="39" t="s">
        <v>33</v>
      </c>
      <c r="CO38" s="57" t="s">
        <v>212</v>
      </c>
      <c r="CP38" s="39" t="s">
        <v>698</v>
      </c>
      <c r="CQ38" s="39" t="s">
        <v>697</v>
      </c>
      <c r="CR38" s="37" t="e">
        <v>#N/A</v>
      </c>
      <c r="CS38" s="37" t="e">
        <v>#N/A</v>
      </c>
      <c r="CT38" s="37" t="e">
        <v>#N/A</v>
      </c>
      <c r="CU38" s="37" t="e">
        <v>#N/A</v>
      </c>
      <c r="CV38" s="37" t="e">
        <v>#N/A</v>
      </c>
      <c r="CW38" s="39" t="s">
        <v>39</v>
      </c>
      <c r="CX38" s="39" t="b">
        <v>1</v>
      </c>
      <c r="CY38" s="39" t="b">
        <v>1</v>
      </c>
      <c r="CZ38" s="39" t="b">
        <v>1</v>
      </c>
      <c r="DA38" s="39" t="b">
        <v>0</v>
      </c>
      <c r="DB38" s="39" t="b">
        <v>1</v>
      </c>
      <c r="DC38" s="39" t="b">
        <v>1</v>
      </c>
      <c r="DD38" s="39" t="b">
        <v>1</v>
      </c>
      <c r="DE38" s="39" t="b">
        <v>1</v>
      </c>
      <c r="DF38" s="132" t="s">
        <v>1403</v>
      </c>
      <c r="DG38" s="39" t="s">
        <v>338</v>
      </c>
      <c r="DH38" s="37" t="e">
        <v>#N/A</v>
      </c>
      <c r="DI38" s="37" t="e">
        <v>#N/A</v>
      </c>
      <c r="DJ38" s="37" t="e">
        <v>#N/A</v>
      </c>
      <c r="DK38" s="39">
        <v>40694</v>
      </c>
      <c r="DL38" s="39" t="s">
        <v>276</v>
      </c>
      <c r="DM38" s="39" t="b">
        <f t="shared" si="0"/>
        <v>1</v>
      </c>
      <c r="DN38" s="38" t="str">
        <f t="shared" si="1"/>
        <v>2693_Vers_4791_andel_übe_ab _20_W</v>
      </c>
    </row>
    <row r="39" spans="1:118" ht="15.75" customHeight="1" x14ac:dyDescent="0.25">
      <c r="A39" s="37">
        <v>34</v>
      </c>
      <c r="C39" s="37">
        <v>1609</v>
      </c>
      <c r="D39" s="132" t="s">
        <v>780</v>
      </c>
      <c r="E39" s="57" t="s">
        <v>110</v>
      </c>
      <c r="F39" s="132" t="s">
        <v>779</v>
      </c>
      <c r="G39" s="132" t="s">
        <v>778</v>
      </c>
      <c r="H39" s="132">
        <v>92690</v>
      </c>
      <c r="I39" s="39" t="s">
        <v>114</v>
      </c>
      <c r="J39" s="132">
        <v>6944670</v>
      </c>
      <c r="K39" s="132">
        <v>96448119</v>
      </c>
      <c r="L39" s="132" t="s">
        <v>777</v>
      </c>
      <c r="M39" s="132" t="s">
        <v>776</v>
      </c>
      <c r="N39" s="132" t="s">
        <v>1404</v>
      </c>
      <c r="O39" s="132" t="s">
        <v>1405</v>
      </c>
      <c r="P39" s="132" t="s">
        <v>1406</v>
      </c>
      <c r="Q39" s="132" t="s">
        <v>1407</v>
      </c>
      <c r="R39" s="39" t="s">
        <v>118</v>
      </c>
      <c r="S39" s="39" t="e">
        <v>#N/A</v>
      </c>
      <c r="T39" s="39" t="e">
        <v>#N/A</v>
      </c>
      <c r="U39" s="40" t="s">
        <v>128</v>
      </c>
      <c r="V39" s="39" t="s">
        <v>129</v>
      </c>
      <c r="W39" s="39" t="e">
        <v>#N/A</v>
      </c>
      <c r="X39" s="39" t="e">
        <v>#N/A</v>
      </c>
      <c r="Y39" s="39" t="s">
        <v>775</v>
      </c>
      <c r="Z39" s="39" t="s">
        <v>148</v>
      </c>
      <c r="AA39" s="39" t="s">
        <v>158</v>
      </c>
      <c r="AB39" s="132" t="s">
        <v>1408</v>
      </c>
      <c r="AC39" s="132" t="s">
        <v>1409</v>
      </c>
      <c r="AD39" s="132" t="s">
        <v>1410</v>
      </c>
      <c r="AE39" s="102" t="e">
        <v>#N/A</v>
      </c>
      <c r="AF39" s="102" t="e">
        <v>#N/A</v>
      </c>
      <c r="AG39" s="102" t="e">
        <v>#N/A</v>
      </c>
      <c r="AH39" s="41" t="s">
        <v>161</v>
      </c>
      <c r="AI39" s="39" t="s">
        <v>177</v>
      </c>
      <c r="AJ39" s="39" t="s">
        <v>184</v>
      </c>
      <c r="AK39" s="39" t="e">
        <v>#N/A</v>
      </c>
      <c r="AL39" s="39" t="s">
        <v>187</v>
      </c>
      <c r="AM39" s="39" t="e">
        <v>#N/A</v>
      </c>
      <c r="AN39" s="39" t="b">
        <v>1</v>
      </c>
      <c r="AO39" s="39" t="b">
        <v>0</v>
      </c>
      <c r="AP39" s="39" t="b">
        <v>0</v>
      </c>
      <c r="AQ39" s="39" t="b">
        <v>0</v>
      </c>
      <c r="AR39" s="39" t="b">
        <v>0</v>
      </c>
      <c r="AS39" s="39" t="b">
        <v>0</v>
      </c>
      <c r="AT39" s="39" t="b">
        <v>0</v>
      </c>
      <c r="AU39" s="39" t="b">
        <v>0</v>
      </c>
      <c r="AV39" s="39" t="b">
        <v>0</v>
      </c>
      <c r="AW39" s="39" t="b">
        <v>0</v>
      </c>
      <c r="AX39" s="39" t="s">
        <v>195</v>
      </c>
      <c r="AY39" s="39" t="s">
        <v>196</v>
      </c>
      <c r="AZ39" s="39" t="s">
        <v>199</v>
      </c>
      <c r="BA39" s="39" t="s">
        <v>200</v>
      </c>
      <c r="BB39" s="39" t="s">
        <v>199</v>
      </c>
      <c r="BC39" s="39" t="s">
        <v>199</v>
      </c>
      <c r="BD39" s="39" t="s">
        <v>200</v>
      </c>
      <c r="BE39" s="39" t="s">
        <v>202</v>
      </c>
      <c r="BF39" s="39" t="s">
        <v>774</v>
      </c>
      <c r="BG39" s="39" t="s">
        <v>491</v>
      </c>
      <c r="BH39" s="39" t="s">
        <v>33</v>
      </c>
      <c r="BI39" s="39" t="e">
        <v>#N/A</v>
      </c>
      <c r="BJ39" s="72" t="e">
        <v>#N/A</v>
      </c>
      <c r="BK39" s="72" t="e">
        <v>#N/A</v>
      </c>
      <c r="BL39" s="72" t="e">
        <v>#N/A</v>
      </c>
      <c r="BM39" s="37" t="e">
        <v>#N/A</v>
      </c>
      <c r="BN39" s="72" t="e">
        <v>#N/A</v>
      </c>
      <c r="BO39" s="72" t="e">
        <v>#N/A</v>
      </c>
      <c r="BP39" s="72" t="e">
        <v>#N/A</v>
      </c>
      <c r="BQ39" s="39" t="s">
        <v>210</v>
      </c>
      <c r="BR39" s="39" t="s">
        <v>104</v>
      </c>
      <c r="BS39" s="39" t="s">
        <v>208</v>
      </c>
      <c r="BT39" s="39" t="s">
        <v>33</v>
      </c>
      <c r="BU39" s="39" t="b">
        <v>0</v>
      </c>
      <c r="BV39" s="39" t="b">
        <v>0</v>
      </c>
      <c r="BW39" s="39" t="b">
        <v>0</v>
      </c>
      <c r="BX39" s="39" t="b">
        <v>0</v>
      </c>
      <c r="BY39" s="39" t="b">
        <v>0</v>
      </c>
      <c r="BZ39" s="39" t="b">
        <v>0</v>
      </c>
      <c r="CA39" s="39" t="b">
        <v>0</v>
      </c>
      <c r="CB39" s="39" t="b">
        <v>0</v>
      </c>
      <c r="CC39" s="39" t="b">
        <v>1</v>
      </c>
      <c r="CD39" s="39" t="s">
        <v>773</v>
      </c>
      <c r="CE39" s="39" t="b">
        <v>0</v>
      </c>
      <c r="CF39" s="39" t="b">
        <v>0</v>
      </c>
      <c r="CG39" s="39" t="b">
        <v>0</v>
      </c>
      <c r="CH39" s="39" t="b">
        <v>0</v>
      </c>
      <c r="CI39" s="39" t="b">
        <v>0</v>
      </c>
      <c r="CJ39" s="39" t="b">
        <v>0</v>
      </c>
      <c r="CK39" s="39" t="b">
        <v>0</v>
      </c>
      <c r="CL39" s="39" t="b">
        <v>0</v>
      </c>
      <c r="CM39" s="39" t="b">
        <v>0</v>
      </c>
      <c r="CN39" s="39" t="s">
        <v>39</v>
      </c>
      <c r="CO39" s="57" t="e">
        <v>#N/A</v>
      </c>
      <c r="CP39" s="39" t="e">
        <v>#N/A</v>
      </c>
      <c r="CQ39" s="39" t="e">
        <v>#N/A</v>
      </c>
      <c r="CR39" s="72" t="e">
        <v>#N/A</v>
      </c>
      <c r="CS39" s="72" t="e">
        <v>#N/A</v>
      </c>
      <c r="CT39" s="72" t="e">
        <v>#N/A</v>
      </c>
      <c r="CU39" s="72" t="e">
        <v>#N/A</v>
      </c>
      <c r="CV39" s="72" t="e">
        <v>#N/A</v>
      </c>
      <c r="CW39" s="72" t="e">
        <v>#N/A</v>
      </c>
      <c r="CX39" s="39" t="b">
        <v>0</v>
      </c>
      <c r="CY39" s="39" t="b">
        <v>0</v>
      </c>
      <c r="CZ39" s="39" t="b">
        <v>0</v>
      </c>
      <c r="DA39" s="39" t="b">
        <v>0</v>
      </c>
      <c r="DB39" s="39" t="b">
        <v>1</v>
      </c>
      <c r="DC39" s="39" t="b">
        <v>0</v>
      </c>
      <c r="DD39" s="39" t="b">
        <v>0</v>
      </c>
      <c r="DE39" s="39" t="b">
        <v>0</v>
      </c>
      <c r="DF39" s="132" t="s">
        <v>745</v>
      </c>
      <c r="DG39" s="39" t="s">
        <v>447</v>
      </c>
      <c r="DH39" s="72" t="e">
        <v>#N/A</v>
      </c>
      <c r="DI39" s="72" t="e">
        <v>#N/A</v>
      </c>
      <c r="DJ39" s="72" t="e">
        <v>#N/A</v>
      </c>
      <c r="DK39" s="72" t="e">
        <v>#N/A</v>
      </c>
      <c r="DL39" s="37" t="s">
        <v>348</v>
      </c>
      <c r="DM39" s="39" t="b">
        <f t="shared" si="0"/>
        <v>0</v>
      </c>
      <c r="DN39" s="38" t="str">
        <f t="shared" si="1"/>
        <v>1609_Indu_Z 25_ktion_5 M_200_bi_F</v>
      </c>
    </row>
    <row r="40" spans="1:118" ht="15.75" customHeight="1" x14ac:dyDescent="0.25">
      <c r="A40" s="37">
        <v>35</v>
      </c>
      <c r="C40" s="37">
        <v>2682</v>
      </c>
      <c r="D40" s="132" t="s">
        <v>713</v>
      </c>
      <c r="E40" s="57" t="s">
        <v>110</v>
      </c>
      <c r="F40" s="132" t="s">
        <v>712</v>
      </c>
      <c r="G40" s="132" t="s">
        <v>711</v>
      </c>
      <c r="H40" s="132">
        <v>92699</v>
      </c>
      <c r="I40" s="39" t="s">
        <v>114</v>
      </c>
      <c r="J40" s="132" t="s">
        <v>710</v>
      </c>
      <c r="K40" s="132" t="s">
        <v>709</v>
      </c>
      <c r="L40" s="132" t="s">
        <v>708</v>
      </c>
      <c r="M40" s="132" t="s">
        <v>707</v>
      </c>
      <c r="N40" s="132" t="s">
        <v>1411</v>
      </c>
      <c r="O40" s="134" t="e">
        <v>#N/A</v>
      </c>
      <c r="P40" s="132" t="e">
        <v>#N/A</v>
      </c>
      <c r="Q40" s="132" t="e">
        <v>#N/A</v>
      </c>
      <c r="R40" s="39" t="s">
        <v>119</v>
      </c>
      <c r="S40" s="39" t="e">
        <v>#N/A</v>
      </c>
      <c r="T40" s="39" t="e">
        <v>#N/A</v>
      </c>
      <c r="U40" s="40" t="s">
        <v>143</v>
      </c>
      <c r="V40" s="39" t="e">
        <v>#N/A</v>
      </c>
      <c r="W40" s="39" t="e">
        <v>#N/A</v>
      </c>
      <c r="X40" s="39" t="e">
        <v>#N/A</v>
      </c>
      <c r="Y40" s="39" t="s">
        <v>706</v>
      </c>
      <c r="Z40" s="39" t="s">
        <v>148</v>
      </c>
      <c r="AA40" s="39" t="s">
        <v>157</v>
      </c>
      <c r="AB40" s="132" t="e">
        <v>#N/A</v>
      </c>
      <c r="AC40" s="132" t="e">
        <v>#N/A</v>
      </c>
      <c r="AD40" s="102" t="e">
        <v>#N/A</v>
      </c>
      <c r="AE40" s="102" t="e">
        <v>#N/A</v>
      </c>
      <c r="AF40" s="102" t="e">
        <v>#N/A</v>
      </c>
      <c r="AG40" s="102" t="e">
        <v>#N/A</v>
      </c>
      <c r="AH40" s="41" t="s">
        <v>167</v>
      </c>
      <c r="AI40" s="39" t="s">
        <v>176</v>
      </c>
      <c r="AJ40" s="39" t="s">
        <v>181</v>
      </c>
      <c r="AK40" s="39">
        <v>41</v>
      </c>
      <c r="AL40" s="39" t="s">
        <v>187</v>
      </c>
      <c r="AM40" s="39">
        <v>4</v>
      </c>
      <c r="AN40" s="39" t="b">
        <v>0</v>
      </c>
      <c r="AO40" s="39" t="b">
        <v>0</v>
      </c>
      <c r="AP40" s="39" t="b">
        <v>0</v>
      </c>
      <c r="AQ40" s="39" t="b">
        <v>0</v>
      </c>
      <c r="AR40" s="39" t="b">
        <v>0</v>
      </c>
      <c r="AS40" s="39" t="b">
        <v>0</v>
      </c>
      <c r="AT40" s="39" t="b">
        <v>1</v>
      </c>
      <c r="AU40" s="39" t="b">
        <v>1</v>
      </c>
      <c r="AV40" s="39" t="b">
        <v>0</v>
      </c>
      <c r="AW40" s="39" t="b">
        <v>0</v>
      </c>
      <c r="AX40" s="39" t="s">
        <v>195</v>
      </c>
      <c r="AY40" s="39" t="s">
        <v>196</v>
      </c>
      <c r="AZ40" s="39" t="s">
        <v>200</v>
      </c>
      <c r="BA40" s="39" t="s">
        <v>200</v>
      </c>
      <c r="BB40" s="39" t="s">
        <v>200</v>
      </c>
      <c r="BC40" s="39" t="s">
        <v>200</v>
      </c>
      <c r="BD40" s="39" t="s">
        <v>200</v>
      </c>
      <c r="BE40" s="39" t="s">
        <v>202</v>
      </c>
      <c r="BF40" s="37" t="e">
        <v>#N/A</v>
      </c>
      <c r="BG40" s="37" t="e">
        <v>#N/A</v>
      </c>
      <c r="BH40" s="37" t="e">
        <v>#N/A</v>
      </c>
      <c r="BI40" s="39" t="e">
        <v>#N/A</v>
      </c>
      <c r="BJ40" s="37" t="e">
        <v>#N/A</v>
      </c>
      <c r="BK40" s="37" t="e">
        <v>#N/A</v>
      </c>
      <c r="BL40" s="37" t="e">
        <v>#N/A</v>
      </c>
      <c r="BM40" s="37" t="e">
        <v>#N/A</v>
      </c>
      <c r="BN40" s="37" t="e">
        <v>#N/A</v>
      </c>
      <c r="BO40" s="37" t="e">
        <v>#N/A</v>
      </c>
      <c r="BP40" s="37" t="e">
        <v>#N/A</v>
      </c>
      <c r="BQ40" s="39" t="s">
        <v>208</v>
      </c>
      <c r="BR40" s="39" t="s">
        <v>104</v>
      </c>
      <c r="BS40" s="39" t="s">
        <v>209</v>
      </c>
      <c r="BT40" s="39" t="s">
        <v>33</v>
      </c>
      <c r="BU40" s="39" t="b">
        <v>0</v>
      </c>
      <c r="BV40" s="39" t="b">
        <v>0</v>
      </c>
      <c r="BW40" s="39" t="b">
        <v>0</v>
      </c>
      <c r="BX40" s="39" t="b">
        <v>0</v>
      </c>
      <c r="BY40" s="39" t="b">
        <v>0</v>
      </c>
      <c r="BZ40" s="39" t="b">
        <v>0</v>
      </c>
      <c r="CA40" s="39" t="b">
        <v>0</v>
      </c>
      <c r="CB40" s="39" t="b">
        <v>0</v>
      </c>
      <c r="CC40" s="39" t="b">
        <v>1</v>
      </c>
      <c r="CD40" s="39" t="e">
        <v>#N/A</v>
      </c>
      <c r="CE40" s="39" t="b">
        <v>0</v>
      </c>
      <c r="CF40" s="39" t="b">
        <v>0</v>
      </c>
      <c r="CG40" s="39" t="b">
        <v>0</v>
      </c>
      <c r="CH40" s="39" t="b">
        <v>0</v>
      </c>
      <c r="CI40" s="39" t="b">
        <v>0</v>
      </c>
      <c r="CJ40" s="39" t="b">
        <v>0</v>
      </c>
      <c r="CK40" s="39" t="b">
        <v>0</v>
      </c>
      <c r="CL40" s="39" t="b">
        <v>0</v>
      </c>
      <c r="CM40" s="39" t="b">
        <v>0</v>
      </c>
      <c r="CN40" s="39" t="s">
        <v>39</v>
      </c>
      <c r="CO40" s="57" t="e">
        <v>#N/A</v>
      </c>
      <c r="CP40" s="39" t="e">
        <v>#N/A</v>
      </c>
      <c r="CQ40" s="39" t="e">
        <v>#N/A</v>
      </c>
      <c r="CR40" s="37" t="e">
        <v>#N/A</v>
      </c>
      <c r="CS40" s="37" t="e">
        <v>#N/A</v>
      </c>
      <c r="CT40" s="37" t="e">
        <v>#N/A</v>
      </c>
      <c r="CU40" s="37" t="e">
        <v>#N/A</v>
      </c>
      <c r="CV40" s="37" t="e">
        <v>#N/A</v>
      </c>
      <c r="CW40" s="37" t="e">
        <v>#N/A</v>
      </c>
      <c r="CX40" s="39" t="b">
        <v>0</v>
      </c>
      <c r="CY40" s="39" t="b">
        <v>0</v>
      </c>
      <c r="CZ40" s="39" t="b">
        <v>0</v>
      </c>
      <c r="DA40" s="39" t="b">
        <v>0</v>
      </c>
      <c r="DB40" s="39" t="b">
        <v>1</v>
      </c>
      <c r="DC40" s="39" t="b">
        <v>0</v>
      </c>
      <c r="DD40" s="39" t="b">
        <v>1</v>
      </c>
      <c r="DE40" s="39" t="b">
        <v>0</v>
      </c>
      <c r="DF40" s="132" t="e">
        <v>#N/A</v>
      </c>
      <c r="DG40" s="39" t="s">
        <v>424</v>
      </c>
      <c r="DH40" s="39">
        <v>40695</v>
      </c>
      <c r="DI40" s="39">
        <v>40710</v>
      </c>
      <c r="DJ40" s="39">
        <v>40695</v>
      </c>
      <c r="DK40" s="39">
        <v>40710</v>
      </c>
      <c r="DL40" s="37" t="s">
        <v>348</v>
      </c>
      <c r="DM40" s="39" t="b">
        <f t="shared" si="0"/>
        <v>0</v>
      </c>
      <c r="DN40" s="38" t="str">
        <f t="shared" si="1"/>
        <v>2682_Dien_Z 74_istik_1 M_20 _bi_F</v>
      </c>
    </row>
    <row r="41" spans="1:118" ht="15.75" customHeight="1" x14ac:dyDescent="0.25">
      <c r="A41" s="37">
        <v>36</v>
      </c>
      <c r="C41" s="37">
        <v>1167</v>
      </c>
      <c r="D41" s="132" t="s">
        <v>832</v>
      </c>
      <c r="E41" s="57" t="s">
        <v>109</v>
      </c>
      <c r="F41" s="132" t="s">
        <v>831</v>
      </c>
      <c r="G41" s="132" t="s">
        <v>830</v>
      </c>
      <c r="H41" s="132">
        <v>92729</v>
      </c>
      <c r="I41" s="39" t="s">
        <v>114</v>
      </c>
      <c r="J41" s="132" t="s">
        <v>829</v>
      </c>
      <c r="K41" s="132" t="s">
        <v>828</v>
      </c>
      <c r="L41" s="132" t="s">
        <v>827</v>
      </c>
      <c r="M41" s="132" t="s">
        <v>826</v>
      </c>
      <c r="N41" s="132" t="s">
        <v>1412</v>
      </c>
      <c r="O41" s="132" t="s">
        <v>1413</v>
      </c>
      <c r="P41" s="132" t="s">
        <v>1414</v>
      </c>
      <c r="Q41" s="132" t="s">
        <v>1415</v>
      </c>
      <c r="R41" s="39" t="s">
        <v>119</v>
      </c>
      <c r="S41" s="39" t="s">
        <v>120</v>
      </c>
      <c r="T41" s="39" t="e">
        <v>#N/A</v>
      </c>
      <c r="U41" s="40" t="s">
        <v>137</v>
      </c>
      <c r="V41" s="39" t="e">
        <v>#N/A</v>
      </c>
      <c r="W41" s="39" t="e">
        <v>#N/A</v>
      </c>
      <c r="X41" s="39" t="e">
        <v>#N/A</v>
      </c>
      <c r="Y41" s="39" t="e">
        <v>#N/A</v>
      </c>
      <c r="Z41" s="39" t="s">
        <v>148</v>
      </c>
      <c r="AA41" s="39" t="s">
        <v>156</v>
      </c>
      <c r="AB41" s="132" t="e">
        <v>#N/A</v>
      </c>
      <c r="AC41" s="132" t="e">
        <v>#N/A</v>
      </c>
      <c r="AD41" s="102" t="e">
        <v>#N/A</v>
      </c>
      <c r="AE41" s="102" t="e">
        <v>#N/A</v>
      </c>
      <c r="AF41" s="102" t="e">
        <v>#N/A</v>
      </c>
      <c r="AG41" s="102" t="e">
        <v>#N/A</v>
      </c>
      <c r="AH41" s="41" t="s">
        <v>163</v>
      </c>
      <c r="AI41" s="39" t="s">
        <v>177</v>
      </c>
      <c r="AJ41" s="39" t="s">
        <v>183</v>
      </c>
      <c r="AK41" s="39" t="e">
        <v>#N/A</v>
      </c>
      <c r="AL41" s="39" t="s">
        <v>187</v>
      </c>
      <c r="AM41" s="39" t="e">
        <v>#N/A</v>
      </c>
      <c r="AN41" s="39" t="b">
        <v>0</v>
      </c>
      <c r="AO41" s="39" t="b">
        <v>0</v>
      </c>
      <c r="AP41" s="39" t="b">
        <v>0</v>
      </c>
      <c r="AQ41" s="39" t="b">
        <v>0</v>
      </c>
      <c r="AR41" s="39" t="b">
        <v>0</v>
      </c>
      <c r="AS41" s="39" t="b">
        <v>0</v>
      </c>
      <c r="AT41" s="39" t="b">
        <v>1</v>
      </c>
      <c r="AU41" s="39" t="b">
        <v>0</v>
      </c>
      <c r="AV41" s="39" t="b">
        <v>0</v>
      </c>
      <c r="AW41" s="39" t="b">
        <v>0</v>
      </c>
      <c r="AX41" s="39" t="s">
        <v>193</v>
      </c>
      <c r="AY41" s="39" t="s">
        <v>196</v>
      </c>
      <c r="AZ41" s="39" t="s">
        <v>200</v>
      </c>
      <c r="BA41" s="39" t="s">
        <v>200</v>
      </c>
      <c r="BB41" s="39" t="s">
        <v>200</v>
      </c>
      <c r="BC41" s="39" t="s">
        <v>200</v>
      </c>
      <c r="BD41" s="39" t="s">
        <v>200</v>
      </c>
      <c r="BE41" s="39" t="s">
        <v>202</v>
      </c>
      <c r="BF41" s="39">
        <v>1000</v>
      </c>
      <c r="BG41" s="39" t="s">
        <v>825</v>
      </c>
      <c r="BH41" s="39" t="s">
        <v>278</v>
      </c>
      <c r="BI41" s="39" t="e">
        <v>#N/A</v>
      </c>
      <c r="BJ41" s="37" t="e">
        <v>#N/A</v>
      </c>
      <c r="BK41" s="37" t="e">
        <v>#N/A</v>
      </c>
      <c r="BL41" s="37" t="e">
        <v>#N/A</v>
      </c>
      <c r="BM41" s="37" t="e">
        <v>#N/A</v>
      </c>
      <c r="BN41" s="37" t="e">
        <v>#N/A</v>
      </c>
      <c r="BO41" s="37" t="e">
        <v>#N/A</v>
      </c>
      <c r="BP41" s="37" t="e">
        <v>#N/A</v>
      </c>
      <c r="BQ41" s="39" t="s">
        <v>210</v>
      </c>
      <c r="BR41" s="39" t="s">
        <v>104</v>
      </c>
      <c r="BS41" s="39" t="s">
        <v>104</v>
      </c>
      <c r="BT41" s="39" t="s">
        <v>33</v>
      </c>
      <c r="BU41" s="39" t="b">
        <v>0</v>
      </c>
      <c r="BV41" s="39" t="b">
        <v>0</v>
      </c>
      <c r="BW41" s="39" t="b">
        <v>0</v>
      </c>
      <c r="BX41" s="39" t="b">
        <v>0</v>
      </c>
      <c r="BY41" s="39" t="b">
        <v>0</v>
      </c>
      <c r="BZ41" s="39" t="b">
        <v>0</v>
      </c>
      <c r="CA41" s="39" t="b">
        <v>0</v>
      </c>
      <c r="CB41" s="39" t="b">
        <v>0</v>
      </c>
      <c r="CC41" s="39" t="b">
        <v>1</v>
      </c>
      <c r="CD41" s="39" t="e">
        <v>#N/A</v>
      </c>
      <c r="CE41" s="39" t="b">
        <v>0</v>
      </c>
      <c r="CF41" s="39" t="b">
        <v>0</v>
      </c>
      <c r="CG41" s="39" t="b">
        <v>0</v>
      </c>
      <c r="CH41" s="39" t="b">
        <v>0</v>
      </c>
      <c r="CI41" s="39" t="b">
        <v>0</v>
      </c>
      <c r="CJ41" s="39" t="b">
        <v>0</v>
      </c>
      <c r="CK41" s="39" t="b">
        <v>0</v>
      </c>
      <c r="CL41" s="39" t="b">
        <v>0</v>
      </c>
      <c r="CM41" s="39" t="b">
        <v>0</v>
      </c>
      <c r="CN41" s="39" t="s">
        <v>39</v>
      </c>
      <c r="CO41" s="57" t="e">
        <v>#N/A</v>
      </c>
      <c r="CP41" s="39" t="e">
        <v>#N/A</v>
      </c>
      <c r="CQ41" s="39" t="e">
        <v>#N/A</v>
      </c>
      <c r="CR41" s="37" t="e">
        <v>#N/A</v>
      </c>
      <c r="CS41" s="37" t="e">
        <v>#N/A</v>
      </c>
      <c r="CT41" s="37" t="e">
        <v>#N/A</v>
      </c>
      <c r="CU41" s="37" t="e">
        <v>#N/A</v>
      </c>
      <c r="CV41" s="37" t="e">
        <v>#N/A</v>
      </c>
      <c r="CW41" s="37" t="e">
        <v>#N/A</v>
      </c>
      <c r="CX41" s="39" t="b">
        <v>0</v>
      </c>
      <c r="CY41" s="39" t="b">
        <v>0</v>
      </c>
      <c r="CZ41" s="39" t="b">
        <v>0</v>
      </c>
      <c r="DA41" s="39" t="b">
        <v>0</v>
      </c>
      <c r="DB41" s="39" t="b">
        <v>0</v>
      </c>
      <c r="DC41" s="39" t="b">
        <v>0</v>
      </c>
      <c r="DD41" s="39" t="b">
        <v>0</v>
      </c>
      <c r="DE41" s="39" t="b">
        <v>0</v>
      </c>
      <c r="DF41" s="132" t="e">
        <v>#N/A</v>
      </c>
      <c r="DG41" s="39" t="s">
        <v>414</v>
      </c>
      <c r="DH41" s="39" t="s">
        <v>824</v>
      </c>
      <c r="DI41" s="39" t="s">
        <v>522</v>
      </c>
      <c r="DJ41" s="39" t="s">
        <v>523</v>
      </c>
      <c r="DK41" s="39" t="s">
        <v>522</v>
      </c>
      <c r="DL41" s="39" t="s">
        <v>307</v>
      </c>
      <c r="DM41" s="39" t="b">
        <f t="shared" si="0"/>
        <v>0</v>
      </c>
      <c r="DN41" s="38" t="str">
        <f t="shared" si="1"/>
        <v>1167_Dien_Z 52_sport_5 M_100_bi_F</v>
      </c>
    </row>
    <row r="42" spans="1:118" ht="15.75" customHeight="1" x14ac:dyDescent="0.25">
      <c r="A42" s="37">
        <v>37</v>
      </c>
      <c r="C42" s="37">
        <v>3728</v>
      </c>
      <c r="D42" s="102" t="s">
        <v>637</v>
      </c>
      <c r="E42" s="58" t="s">
        <v>110</v>
      </c>
      <c r="F42" s="102" t="s">
        <v>636</v>
      </c>
      <c r="G42" s="102" t="s">
        <v>437</v>
      </c>
      <c r="H42" s="102">
        <v>92253</v>
      </c>
      <c r="I42" s="37" t="s">
        <v>114</v>
      </c>
      <c r="J42" s="102" t="s">
        <v>635</v>
      </c>
      <c r="K42" s="102" t="s">
        <v>634</v>
      </c>
      <c r="L42" s="132" t="e">
        <v>#N/A</v>
      </c>
      <c r="M42" s="132" t="e">
        <v>#N/A</v>
      </c>
      <c r="N42" s="102" t="s">
        <v>1416</v>
      </c>
      <c r="O42" s="102" t="e">
        <v>#N/A</v>
      </c>
      <c r="P42" s="102" t="e">
        <v>#N/A</v>
      </c>
      <c r="Q42" s="102" t="s">
        <v>1417</v>
      </c>
      <c r="R42" s="37" t="s">
        <v>118</v>
      </c>
      <c r="S42" s="39" t="e">
        <v>#N/A</v>
      </c>
      <c r="T42" s="39" t="e">
        <v>#N/A</v>
      </c>
      <c r="U42" s="41" t="s">
        <v>128</v>
      </c>
      <c r="V42" s="39" t="e">
        <v>#N/A</v>
      </c>
      <c r="W42" s="39" t="e">
        <v>#N/A</v>
      </c>
      <c r="X42" s="39" t="e">
        <v>#N/A</v>
      </c>
      <c r="Y42" s="37" t="s">
        <v>258</v>
      </c>
      <c r="Z42" s="37" t="s">
        <v>148</v>
      </c>
      <c r="AA42" s="37" t="s">
        <v>156</v>
      </c>
      <c r="AB42" s="132" t="e">
        <v>#N/A</v>
      </c>
      <c r="AC42" s="132" t="e">
        <v>#N/A</v>
      </c>
      <c r="AD42" s="102" t="e">
        <v>#N/A</v>
      </c>
      <c r="AE42" s="102" t="e">
        <v>#N/A</v>
      </c>
      <c r="AF42" s="102" t="e">
        <v>#N/A</v>
      </c>
      <c r="AG42" s="102" t="e">
        <v>#N/A</v>
      </c>
      <c r="AH42" s="41" t="s">
        <v>161</v>
      </c>
      <c r="AI42" s="39" t="e">
        <v>#N/A</v>
      </c>
      <c r="AJ42" s="37" t="s">
        <v>182</v>
      </c>
      <c r="AK42" s="39" t="e">
        <v>#N/A</v>
      </c>
      <c r="AL42" s="37" t="s">
        <v>187</v>
      </c>
      <c r="AM42" s="39" t="e">
        <v>#N/A</v>
      </c>
      <c r="AN42" s="37" t="b">
        <v>0</v>
      </c>
      <c r="AO42" s="37" t="b">
        <v>0</v>
      </c>
      <c r="AP42" s="37" t="b">
        <v>0</v>
      </c>
      <c r="AQ42" s="37" t="b">
        <v>0</v>
      </c>
      <c r="AR42" s="37" t="b">
        <v>0</v>
      </c>
      <c r="AS42" s="37" t="b">
        <v>0</v>
      </c>
      <c r="AT42" s="37" t="b">
        <v>1</v>
      </c>
      <c r="AU42" s="37" t="b">
        <v>0</v>
      </c>
      <c r="AV42" s="37" t="b">
        <v>0</v>
      </c>
      <c r="AW42" s="37" t="b">
        <v>1</v>
      </c>
      <c r="AX42" s="37" t="s">
        <v>195</v>
      </c>
      <c r="AY42" s="37" t="s">
        <v>200</v>
      </c>
      <c r="AZ42" s="37" t="s">
        <v>200</v>
      </c>
      <c r="BA42" s="37" t="s">
        <v>200</v>
      </c>
      <c r="BB42" s="37" t="s">
        <v>200</v>
      </c>
      <c r="BC42" s="37" t="s">
        <v>200</v>
      </c>
      <c r="BD42" s="37" t="s">
        <v>200</v>
      </c>
      <c r="BE42" s="37" t="s">
        <v>202</v>
      </c>
      <c r="BF42" s="72" t="e">
        <v>#N/A</v>
      </c>
      <c r="BG42" s="72" t="e">
        <v>#N/A</v>
      </c>
      <c r="BH42" s="72" t="e">
        <v>#N/A</v>
      </c>
      <c r="BI42" s="39" t="e">
        <v>#N/A</v>
      </c>
      <c r="BJ42" s="72" t="e">
        <v>#N/A</v>
      </c>
      <c r="BK42" s="72" t="e">
        <v>#N/A</v>
      </c>
      <c r="BL42" s="72" t="e">
        <v>#N/A</v>
      </c>
      <c r="BM42" s="37" t="e">
        <v>#N/A</v>
      </c>
      <c r="BN42" s="72" t="e">
        <v>#N/A</v>
      </c>
      <c r="BO42" s="72" t="e">
        <v>#N/A</v>
      </c>
      <c r="BP42" s="72" t="e">
        <v>#N/A</v>
      </c>
      <c r="BQ42" s="37" t="s">
        <v>209</v>
      </c>
      <c r="BR42" s="72" t="e">
        <v>#N/A</v>
      </c>
      <c r="BS42" s="37" t="s">
        <v>209</v>
      </c>
      <c r="BT42" s="37" t="s">
        <v>39</v>
      </c>
      <c r="BU42" s="37" t="b">
        <v>0</v>
      </c>
      <c r="BV42" s="37" t="b">
        <v>0</v>
      </c>
      <c r="BW42" s="37" t="b">
        <v>0</v>
      </c>
      <c r="BX42" s="37" t="b">
        <v>0</v>
      </c>
      <c r="BY42" s="37" t="b">
        <v>0</v>
      </c>
      <c r="BZ42" s="37" t="b">
        <v>0</v>
      </c>
      <c r="CA42" s="37" t="b">
        <v>0</v>
      </c>
      <c r="CB42" s="37" t="b">
        <v>0</v>
      </c>
      <c r="CC42" s="37" t="b">
        <v>1</v>
      </c>
      <c r="CD42" s="37" t="s">
        <v>633</v>
      </c>
      <c r="CE42" s="37" t="b">
        <v>0</v>
      </c>
      <c r="CF42" s="37" t="b">
        <v>0</v>
      </c>
      <c r="CG42" s="37" t="b">
        <v>0</v>
      </c>
      <c r="CH42" s="37" t="b">
        <v>0</v>
      </c>
      <c r="CI42" s="37" t="b">
        <v>0</v>
      </c>
      <c r="CJ42" s="37" t="b">
        <v>0</v>
      </c>
      <c r="CK42" s="37" t="b">
        <v>0</v>
      </c>
      <c r="CL42" s="37" t="b">
        <v>0</v>
      </c>
      <c r="CM42" s="37" t="b">
        <v>0</v>
      </c>
      <c r="CN42" s="37" t="s">
        <v>39</v>
      </c>
      <c r="CO42" s="57" t="e">
        <v>#N/A</v>
      </c>
      <c r="CP42" s="39" t="e">
        <v>#N/A</v>
      </c>
      <c r="CQ42" s="39" t="e">
        <v>#N/A</v>
      </c>
      <c r="CR42" s="72" t="e">
        <v>#N/A</v>
      </c>
      <c r="CS42" s="72" t="e">
        <v>#N/A</v>
      </c>
      <c r="CT42" s="72" t="e">
        <v>#N/A</v>
      </c>
      <c r="CU42" s="72" t="e">
        <v>#N/A</v>
      </c>
      <c r="CV42" s="72" t="e">
        <v>#N/A</v>
      </c>
      <c r="CW42" s="72" t="e">
        <v>#N/A</v>
      </c>
      <c r="CX42" s="37" t="b">
        <v>0</v>
      </c>
      <c r="CY42" s="37" t="b">
        <v>1</v>
      </c>
      <c r="CZ42" s="37" t="b">
        <v>1</v>
      </c>
      <c r="DA42" s="37" t="b">
        <v>0</v>
      </c>
      <c r="DB42" s="37" t="b">
        <v>0</v>
      </c>
      <c r="DC42" s="37" t="b">
        <v>0</v>
      </c>
      <c r="DD42" s="37" t="b">
        <v>0</v>
      </c>
      <c r="DE42" s="37" t="b">
        <v>0</v>
      </c>
      <c r="DF42" s="102" t="s">
        <v>104</v>
      </c>
      <c r="DG42" s="37" t="s">
        <v>247</v>
      </c>
      <c r="DH42" s="37">
        <v>40672</v>
      </c>
      <c r="DI42" s="72" t="e">
        <v>#N/A</v>
      </c>
      <c r="DJ42" s="37">
        <v>40688</v>
      </c>
      <c r="DK42" s="72" t="e">
        <v>#N/A</v>
      </c>
      <c r="DL42" s="37" t="s">
        <v>246</v>
      </c>
      <c r="DM42" s="39" t="b">
        <f t="shared" si="0"/>
        <v>0</v>
      </c>
      <c r="DN42" s="38" t="str">
        <f t="shared" si="1"/>
        <v>3728_Indu_Z 25_ktion_XXX_50 _bi_F</v>
      </c>
    </row>
    <row r="43" spans="1:118" ht="15.75" customHeight="1" x14ac:dyDescent="0.25">
      <c r="A43" s="37">
        <v>38</v>
      </c>
      <c r="C43" s="37">
        <v>7920</v>
      </c>
      <c r="D43" s="132" t="s">
        <v>391</v>
      </c>
      <c r="E43" s="57" t="s">
        <v>111</v>
      </c>
      <c r="F43" s="132" t="s">
        <v>390</v>
      </c>
      <c r="G43" s="132" t="s">
        <v>389</v>
      </c>
      <c r="H43" s="132">
        <v>93073</v>
      </c>
      <c r="I43" s="39" t="s">
        <v>114</v>
      </c>
      <c r="J43" s="132" t="s">
        <v>388</v>
      </c>
      <c r="K43" s="132" t="s">
        <v>387</v>
      </c>
      <c r="L43" s="132" t="e">
        <v>#N/A</v>
      </c>
      <c r="M43" s="132" t="s">
        <v>386</v>
      </c>
      <c r="N43" s="132" t="s">
        <v>1418</v>
      </c>
      <c r="O43" s="132" t="s">
        <v>1419</v>
      </c>
      <c r="P43" s="132" t="s">
        <v>1420</v>
      </c>
      <c r="Q43" s="132" t="s">
        <v>1421</v>
      </c>
      <c r="R43" s="39" t="s">
        <v>118</v>
      </c>
      <c r="S43" s="39" t="e">
        <v>#N/A</v>
      </c>
      <c r="T43" s="39" t="e">
        <v>#N/A</v>
      </c>
      <c r="U43" s="40" t="s">
        <v>128</v>
      </c>
      <c r="V43" s="39" t="e">
        <v>#N/A</v>
      </c>
      <c r="W43" s="39" t="e">
        <v>#N/A</v>
      </c>
      <c r="X43" s="39" t="e">
        <v>#N/A</v>
      </c>
      <c r="Y43" s="39" t="s">
        <v>385</v>
      </c>
      <c r="Z43" s="39" t="s">
        <v>154</v>
      </c>
      <c r="AA43" s="39" t="s">
        <v>157</v>
      </c>
      <c r="AB43" s="132" t="e">
        <v>#N/A</v>
      </c>
      <c r="AC43" s="132" t="e">
        <v>#N/A</v>
      </c>
      <c r="AD43" s="102" t="e">
        <v>#N/A</v>
      </c>
      <c r="AE43" s="102" t="e">
        <v>#N/A</v>
      </c>
      <c r="AF43" s="102" t="e">
        <v>#N/A</v>
      </c>
      <c r="AG43" s="102" t="e">
        <v>#N/A</v>
      </c>
      <c r="AH43" s="41" t="s">
        <v>161</v>
      </c>
      <c r="AI43" s="39" t="s">
        <v>178</v>
      </c>
      <c r="AJ43" s="39" t="s">
        <v>186</v>
      </c>
      <c r="AK43" s="39" t="e">
        <v>#N/A</v>
      </c>
      <c r="AL43" s="39" t="s">
        <v>187</v>
      </c>
      <c r="AM43" s="39" t="e">
        <v>#N/A</v>
      </c>
      <c r="AN43" s="39" t="b">
        <v>1</v>
      </c>
      <c r="AO43" s="39" t="b">
        <v>0</v>
      </c>
      <c r="AP43" s="39" t="b">
        <v>1</v>
      </c>
      <c r="AQ43" s="39" t="b">
        <v>1</v>
      </c>
      <c r="AR43" s="39" t="b">
        <v>1</v>
      </c>
      <c r="AS43" s="39" t="b">
        <v>0</v>
      </c>
      <c r="AT43" s="39" t="b">
        <v>0</v>
      </c>
      <c r="AU43" s="39" t="b">
        <v>0</v>
      </c>
      <c r="AV43" s="39" t="b">
        <v>0</v>
      </c>
      <c r="AW43" s="39" t="b">
        <v>0</v>
      </c>
      <c r="AX43" s="39" t="s">
        <v>194</v>
      </c>
      <c r="AY43" s="39" t="s">
        <v>196</v>
      </c>
      <c r="AZ43" s="37" t="e">
        <v>#N/A</v>
      </c>
      <c r="BA43" s="37" t="e">
        <v>#N/A</v>
      </c>
      <c r="BB43" s="37" t="e">
        <v>#N/A</v>
      </c>
      <c r="BC43" s="37" t="e">
        <v>#N/A</v>
      </c>
      <c r="BD43" s="72" t="e">
        <v>#N/A</v>
      </c>
      <c r="BE43" s="39" t="s">
        <v>201</v>
      </c>
      <c r="BF43" s="72" t="e">
        <v>#N/A</v>
      </c>
      <c r="BG43" s="72" t="e">
        <v>#N/A</v>
      </c>
      <c r="BH43" s="72" t="e">
        <v>#N/A</v>
      </c>
      <c r="BI43" s="39" t="s">
        <v>202</v>
      </c>
      <c r="BJ43" s="72" t="e">
        <v>#N/A</v>
      </c>
      <c r="BK43" s="72" t="e">
        <v>#N/A</v>
      </c>
      <c r="BL43" s="72" t="e">
        <v>#N/A</v>
      </c>
      <c r="BM43" s="39" t="s">
        <v>206</v>
      </c>
      <c r="BN43" s="72" t="e">
        <v>#N/A</v>
      </c>
      <c r="BO43" s="72" t="e">
        <v>#N/A</v>
      </c>
      <c r="BP43" s="72" t="e">
        <v>#N/A</v>
      </c>
      <c r="BQ43" s="39" t="s">
        <v>209</v>
      </c>
      <c r="BR43" s="39" t="s">
        <v>208</v>
      </c>
      <c r="BS43" s="39" t="s">
        <v>209</v>
      </c>
      <c r="BT43" s="39" t="s">
        <v>33</v>
      </c>
      <c r="BU43" s="39" t="b">
        <v>1</v>
      </c>
      <c r="BV43" s="39" t="b">
        <v>0</v>
      </c>
      <c r="BW43" s="39" t="b">
        <v>0</v>
      </c>
      <c r="BX43" s="39" t="b">
        <v>1</v>
      </c>
      <c r="BY43" s="39" t="b">
        <v>1</v>
      </c>
      <c r="BZ43" s="39" t="b">
        <v>0</v>
      </c>
      <c r="CA43" s="39" t="b">
        <v>0</v>
      </c>
      <c r="CB43" s="39" t="b">
        <v>0</v>
      </c>
      <c r="CC43" s="39" t="b">
        <v>0</v>
      </c>
      <c r="CD43" s="39" t="e">
        <v>#N/A</v>
      </c>
      <c r="CE43" s="39" t="b">
        <v>0</v>
      </c>
      <c r="CF43" s="39" t="b">
        <v>0</v>
      </c>
      <c r="CG43" s="39" t="b">
        <v>0</v>
      </c>
      <c r="CH43" s="39" t="b">
        <v>0</v>
      </c>
      <c r="CI43" s="39" t="b">
        <v>0</v>
      </c>
      <c r="CJ43" s="39" t="b">
        <v>0</v>
      </c>
      <c r="CK43" s="39" t="b">
        <v>0</v>
      </c>
      <c r="CL43" s="39" t="b">
        <v>0</v>
      </c>
      <c r="CM43" s="39" t="b">
        <v>0</v>
      </c>
      <c r="CN43" s="39" t="s">
        <v>211</v>
      </c>
      <c r="CO43" s="57" t="s">
        <v>213</v>
      </c>
      <c r="CP43" s="72" t="e">
        <v>#N/A</v>
      </c>
      <c r="CQ43" s="39" t="e">
        <v>#N/A</v>
      </c>
      <c r="CR43" s="72" t="e">
        <v>#N/A</v>
      </c>
      <c r="CS43" s="72" t="e">
        <v>#N/A</v>
      </c>
      <c r="CT43" s="72" t="e">
        <v>#N/A</v>
      </c>
      <c r="CU43" s="72" t="e">
        <v>#N/A</v>
      </c>
      <c r="CV43" s="72" t="e">
        <v>#N/A</v>
      </c>
      <c r="CW43" s="72" t="e">
        <v>#N/A</v>
      </c>
      <c r="CX43" s="39" t="b">
        <v>1</v>
      </c>
      <c r="CY43" s="39" t="b">
        <v>1</v>
      </c>
      <c r="CZ43" s="39" t="b">
        <v>0</v>
      </c>
      <c r="DA43" s="39" t="b">
        <v>0</v>
      </c>
      <c r="DB43" s="39" t="b">
        <v>1</v>
      </c>
      <c r="DC43" s="39" t="b">
        <v>0</v>
      </c>
      <c r="DD43" s="39" t="b">
        <v>0</v>
      </c>
      <c r="DE43" s="39" t="b">
        <v>0</v>
      </c>
      <c r="DF43" s="132" t="s">
        <v>1422</v>
      </c>
      <c r="DG43" s="39" t="s">
        <v>316</v>
      </c>
      <c r="DH43" s="39">
        <v>40690</v>
      </c>
      <c r="DI43" s="39">
        <v>40690</v>
      </c>
      <c r="DJ43" s="39" t="s">
        <v>384</v>
      </c>
      <c r="DK43" s="72" t="e">
        <v>#N/A</v>
      </c>
      <c r="DL43" s="39" t="s">
        <v>231</v>
      </c>
      <c r="DM43" s="39" t="b">
        <f t="shared" si="0"/>
        <v>0</v>
      </c>
      <c r="DN43" s="38" t="str">
        <f t="shared" si="1"/>
        <v>7920_Indu_Z 25_ktion_übe_ab _bi_F</v>
      </c>
    </row>
    <row r="44" spans="1:118" ht="15.75" customHeight="1" x14ac:dyDescent="0.25">
      <c r="A44" s="37">
        <v>39</v>
      </c>
      <c r="C44" s="37">
        <v>8733</v>
      </c>
      <c r="D44" s="102" t="s">
        <v>356</v>
      </c>
      <c r="E44" s="58" t="s">
        <v>109</v>
      </c>
      <c r="F44" s="102" t="s">
        <v>355</v>
      </c>
      <c r="G44" s="102" t="s">
        <v>313</v>
      </c>
      <c r="H44" s="102">
        <v>92714</v>
      </c>
      <c r="I44" s="37" t="s">
        <v>114</v>
      </c>
      <c r="J44" s="102" t="s">
        <v>354</v>
      </c>
      <c r="K44" s="102" t="s">
        <v>353</v>
      </c>
      <c r="L44" s="102" t="s">
        <v>352</v>
      </c>
      <c r="M44" s="102" t="s">
        <v>351</v>
      </c>
      <c r="N44" s="102" t="s">
        <v>1423</v>
      </c>
      <c r="O44" s="102" t="s">
        <v>1424</v>
      </c>
      <c r="P44" s="132" t="e">
        <v>#N/A</v>
      </c>
      <c r="Q44" s="132" t="e">
        <v>#N/A</v>
      </c>
      <c r="R44" s="37" t="s">
        <v>118</v>
      </c>
      <c r="S44" s="39" t="e">
        <v>#N/A</v>
      </c>
      <c r="T44" s="39" t="e">
        <v>#N/A</v>
      </c>
      <c r="U44" s="41" t="s">
        <v>128</v>
      </c>
      <c r="V44" s="39" t="e">
        <v>#N/A</v>
      </c>
      <c r="W44" s="39" t="e">
        <v>#N/A</v>
      </c>
      <c r="X44" s="39" t="e">
        <v>#N/A</v>
      </c>
      <c r="Y44" s="37" t="s">
        <v>350</v>
      </c>
      <c r="Z44" s="37" t="s">
        <v>148</v>
      </c>
      <c r="AA44" s="37" t="s">
        <v>159</v>
      </c>
      <c r="AB44" s="132" t="e">
        <v>#N/A</v>
      </c>
      <c r="AC44" s="132" t="e">
        <v>#N/A</v>
      </c>
      <c r="AD44" s="102" t="e">
        <v>#N/A</v>
      </c>
      <c r="AE44" s="102" t="s">
        <v>1425</v>
      </c>
      <c r="AF44" s="102" t="s">
        <v>1426</v>
      </c>
      <c r="AG44" s="102">
        <v>90459</v>
      </c>
      <c r="AH44" s="41" t="s">
        <v>161</v>
      </c>
      <c r="AI44" s="37" t="s">
        <v>177</v>
      </c>
      <c r="AJ44" s="37" t="s">
        <v>184</v>
      </c>
      <c r="AK44" s="39" t="e">
        <v>#N/A</v>
      </c>
      <c r="AL44" s="37" t="s">
        <v>187</v>
      </c>
      <c r="AM44" s="39" t="e">
        <v>#N/A</v>
      </c>
      <c r="AN44" s="37" t="b">
        <v>0</v>
      </c>
      <c r="AO44" s="37" t="b">
        <v>0</v>
      </c>
      <c r="AP44" s="37" t="b">
        <v>0</v>
      </c>
      <c r="AQ44" s="37" t="b">
        <v>0</v>
      </c>
      <c r="AR44" s="37" t="b">
        <v>0</v>
      </c>
      <c r="AS44" s="37" t="b">
        <v>0</v>
      </c>
      <c r="AT44" s="37" t="b">
        <v>1</v>
      </c>
      <c r="AU44" s="37" t="b">
        <v>1</v>
      </c>
      <c r="AV44" s="37" t="b">
        <v>0</v>
      </c>
      <c r="AW44" s="37" t="b">
        <v>0</v>
      </c>
      <c r="AX44" s="37" t="s">
        <v>194</v>
      </c>
      <c r="AY44" s="37" t="e">
        <v>#N/A</v>
      </c>
      <c r="AZ44" s="37" t="e">
        <v>#N/A</v>
      </c>
      <c r="BA44" s="37" t="e">
        <v>#N/A</v>
      </c>
      <c r="BB44" s="37" t="e">
        <v>#N/A</v>
      </c>
      <c r="BC44" s="37" t="e">
        <v>#N/A</v>
      </c>
      <c r="BD44" s="72" t="e">
        <v>#N/A</v>
      </c>
      <c r="BE44" s="37" t="s">
        <v>201</v>
      </c>
      <c r="BF44" s="72" t="e">
        <v>#N/A</v>
      </c>
      <c r="BG44" s="72" t="e">
        <v>#N/A</v>
      </c>
      <c r="BH44" s="72" t="e">
        <v>#N/A</v>
      </c>
      <c r="BI44" s="37" t="s">
        <v>205</v>
      </c>
      <c r="BJ44" s="72" t="e">
        <v>#N/A</v>
      </c>
      <c r="BK44" s="72" t="e">
        <v>#N/A</v>
      </c>
      <c r="BL44" s="72" t="e">
        <v>#N/A</v>
      </c>
      <c r="BM44" s="37" t="s">
        <v>206</v>
      </c>
      <c r="BN44" s="72" t="e">
        <v>#N/A</v>
      </c>
      <c r="BO44" s="72" t="e">
        <v>#N/A</v>
      </c>
      <c r="BP44" s="72" t="e">
        <v>#N/A</v>
      </c>
      <c r="BQ44" s="37" t="s">
        <v>209</v>
      </c>
      <c r="BR44" s="37" t="s">
        <v>104</v>
      </c>
      <c r="BS44" s="37" t="s">
        <v>209</v>
      </c>
      <c r="BT44" s="37" t="s">
        <v>33</v>
      </c>
      <c r="BU44" s="37" t="b">
        <v>0</v>
      </c>
      <c r="BV44" s="37" t="b">
        <v>0</v>
      </c>
      <c r="BW44" s="37" t="b">
        <v>0</v>
      </c>
      <c r="BX44" s="37" t="b">
        <v>0</v>
      </c>
      <c r="BY44" s="37" t="b">
        <v>0</v>
      </c>
      <c r="BZ44" s="37" t="b">
        <v>0</v>
      </c>
      <c r="CA44" s="37" t="b">
        <v>0</v>
      </c>
      <c r="CB44" s="37" t="b">
        <v>0</v>
      </c>
      <c r="CC44" s="37" t="b">
        <v>1</v>
      </c>
      <c r="CD44" s="39" t="e">
        <v>#N/A</v>
      </c>
      <c r="CE44" s="37" t="b">
        <v>0</v>
      </c>
      <c r="CF44" s="37" t="b">
        <v>0</v>
      </c>
      <c r="CG44" s="37" t="b">
        <v>0</v>
      </c>
      <c r="CH44" s="37" t="b">
        <v>0</v>
      </c>
      <c r="CI44" s="37" t="b">
        <v>0</v>
      </c>
      <c r="CJ44" s="37" t="b">
        <v>0</v>
      </c>
      <c r="CK44" s="37" t="b">
        <v>0</v>
      </c>
      <c r="CL44" s="37" t="b">
        <v>0</v>
      </c>
      <c r="CM44" s="37" t="b">
        <v>0</v>
      </c>
      <c r="CN44" s="37" t="s">
        <v>39</v>
      </c>
      <c r="CO44" s="57" t="e">
        <v>#N/A</v>
      </c>
      <c r="CP44" s="39" t="e">
        <v>#N/A</v>
      </c>
      <c r="CQ44" s="39" t="e">
        <v>#N/A</v>
      </c>
      <c r="CR44" s="72" t="e">
        <v>#N/A</v>
      </c>
      <c r="CS44" s="72" t="e">
        <v>#N/A</v>
      </c>
      <c r="CT44" s="72" t="e">
        <v>#N/A</v>
      </c>
      <c r="CU44" s="72" t="e">
        <v>#N/A</v>
      </c>
      <c r="CV44" s="72" t="e">
        <v>#N/A</v>
      </c>
      <c r="CW44" s="37" t="s">
        <v>39</v>
      </c>
      <c r="CX44" s="37" t="b">
        <v>1</v>
      </c>
      <c r="CY44" s="37" t="b">
        <v>1</v>
      </c>
      <c r="CZ44" s="37" t="b">
        <v>0</v>
      </c>
      <c r="DA44" s="37" t="b">
        <v>0</v>
      </c>
      <c r="DB44" s="37" t="b">
        <v>1</v>
      </c>
      <c r="DC44" s="37" t="b">
        <v>0</v>
      </c>
      <c r="DD44" s="37" t="b">
        <v>1</v>
      </c>
      <c r="DE44" s="37" t="b">
        <v>0</v>
      </c>
      <c r="DF44" s="102" t="s">
        <v>1427</v>
      </c>
      <c r="DG44" s="37" t="s">
        <v>349</v>
      </c>
      <c r="DH44" s="72" t="e">
        <v>#N/A</v>
      </c>
      <c r="DI44" s="72" t="e">
        <v>#N/A</v>
      </c>
      <c r="DJ44" s="72" t="e">
        <v>#N/A</v>
      </c>
      <c r="DK44" s="72" t="e">
        <v>#N/A</v>
      </c>
      <c r="DL44" s="37" t="s">
        <v>348</v>
      </c>
      <c r="DM44" s="39" t="b">
        <f t="shared" si="0"/>
        <v>0</v>
      </c>
      <c r="DN44" s="38" t="str">
        <f t="shared" si="1"/>
        <v>8733_Indu_Z 25_ktion_5 M_200_bi_F</v>
      </c>
    </row>
    <row r="45" spans="1:118" ht="15.75" customHeight="1" x14ac:dyDescent="0.25">
      <c r="A45" s="37">
        <v>40</v>
      </c>
      <c r="C45" s="37">
        <v>7890</v>
      </c>
      <c r="D45" s="132" t="s">
        <v>401</v>
      </c>
      <c r="E45" s="57" t="s">
        <v>109</v>
      </c>
      <c r="F45" s="132" t="s">
        <v>400</v>
      </c>
      <c r="G45" s="132" t="s">
        <v>399</v>
      </c>
      <c r="H45" s="132">
        <v>95703</v>
      </c>
      <c r="I45" s="39" t="s">
        <v>114</v>
      </c>
      <c r="J45" s="132" t="s">
        <v>398</v>
      </c>
      <c r="K45" s="132" t="s">
        <v>397</v>
      </c>
      <c r="L45" s="132" t="s">
        <v>396</v>
      </c>
      <c r="M45" s="132" t="s">
        <v>395</v>
      </c>
      <c r="N45" s="132" t="s">
        <v>1428</v>
      </c>
      <c r="O45" s="132" t="s">
        <v>1429</v>
      </c>
      <c r="P45" s="132" t="s">
        <v>1430</v>
      </c>
      <c r="Q45" s="132" t="s">
        <v>1431</v>
      </c>
      <c r="R45" s="39" t="s">
        <v>118</v>
      </c>
      <c r="S45" s="39" t="s">
        <v>121</v>
      </c>
      <c r="T45" s="39" t="e">
        <v>#N/A</v>
      </c>
      <c r="U45" s="40" t="s">
        <v>908</v>
      </c>
      <c r="V45" s="39" t="s">
        <v>132</v>
      </c>
      <c r="W45" s="39" t="e">
        <v>#N/A</v>
      </c>
      <c r="X45" s="39" t="e">
        <v>#N/A</v>
      </c>
      <c r="Y45" s="39" t="s">
        <v>394</v>
      </c>
      <c r="Z45" s="39" t="s">
        <v>148</v>
      </c>
      <c r="AA45" s="39" t="s">
        <v>156</v>
      </c>
      <c r="AB45" s="132" t="e">
        <v>#N/A</v>
      </c>
      <c r="AC45" s="132" t="e">
        <v>#N/A</v>
      </c>
      <c r="AD45" s="102" t="e">
        <v>#N/A</v>
      </c>
      <c r="AE45" s="102" t="e">
        <v>#N/A</v>
      </c>
      <c r="AF45" s="102" t="e">
        <v>#N/A</v>
      </c>
      <c r="AG45" s="102" t="e">
        <v>#N/A</v>
      </c>
      <c r="AH45" s="41" t="s">
        <v>161</v>
      </c>
      <c r="AI45" s="39" t="s">
        <v>177</v>
      </c>
      <c r="AJ45" s="39" t="s">
        <v>184</v>
      </c>
      <c r="AK45" s="39" t="e">
        <v>#N/A</v>
      </c>
      <c r="AL45" s="39" t="s">
        <v>188</v>
      </c>
      <c r="AM45" s="39" t="e">
        <v>#N/A</v>
      </c>
      <c r="AN45" s="39" t="b">
        <v>0</v>
      </c>
      <c r="AO45" s="39" t="b">
        <v>0</v>
      </c>
      <c r="AP45" s="39" t="b">
        <v>0</v>
      </c>
      <c r="AQ45" s="39" t="b">
        <v>0</v>
      </c>
      <c r="AR45" s="39" t="b">
        <v>0</v>
      </c>
      <c r="AS45" s="39" t="b">
        <v>0</v>
      </c>
      <c r="AT45" s="39" t="b">
        <v>1</v>
      </c>
      <c r="AU45" s="39" t="b">
        <v>1</v>
      </c>
      <c r="AV45" s="39" t="b">
        <v>0</v>
      </c>
      <c r="AW45" s="39" t="b">
        <v>0</v>
      </c>
      <c r="AX45" s="39" t="s">
        <v>195</v>
      </c>
      <c r="AY45" s="39" t="s">
        <v>196</v>
      </c>
      <c r="AZ45" s="39" t="s">
        <v>200</v>
      </c>
      <c r="BA45" s="39" t="s">
        <v>200</v>
      </c>
      <c r="BB45" s="39" t="s">
        <v>200</v>
      </c>
      <c r="BC45" s="39" t="s">
        <v>200</v>
      </c>
      <c r="BD45" s="39" t="s">
        <v>200</v>
      </c>
      <c r="BE45" s="39" t="s">
        <v>201</v>
      </c>
      <c r="BF45" s="37" t="e">
        <v>#N/A</v>
      </c>
      <c r="BG45" s="37" t="e">
        <v>#N/A</v>
      </c>
      <c r="BH45" s="39" t="s">
        <v>39</v>
      </c>
      <c r="BI45" s="39" t="e">
        <v>#N/A</v>
      </c>
      <c r="BJ45" s="37" t="e">
        <v>#N/A</v>
      </c>
      <c r="BK45" s="37" t="e">
        <v>#N/A</v>
      </c>
      <c r="BL45" s="37" t="e">
        <v>#N/A</v>
      </c>
      <c r="BM45" s="37" t="e">
        <v>#N/A</v>
      </c>
      <c r="BN45" s="37" t="e">
        <v>#N/A</v>
      </c>
      <c r="BO45" s="37" t="e">
        <v>#N/A</v>
      </c>
      <c r="BP45" s="37" t="e">
        <v>#N/A</v>
      </c>
      <c r="BQ45" s="39" t="s">
        <v>209</v>
      </c>
      <c r="BR45" s="39" t="s">
        <v>104</v>
      </c>
      <c r="BS45" s="39" t="s">
        <v>208</v>
      </c>
      <c r="BT45" s="39" t="s">
        <v>39</v>
      </c>
      <c r="BU45" s="39" t="b">
        <v>0</v>
      </c>
      <c r="BV45" s="39" t="b">
        <v>0</v>
      </c>
      <c r="BW45" s="39" t="b">
        <v>0</v>
      </c>
      <c r="BX45" s="39" t="b">
        <v>0</v>
      </c>
      <c r="BY45" s="39" t="b">
        <v>0</v>
      </c>
      <c r="BZ45" s="39" t="b">
        <v>0</v>
      </c>
      <c r="CA45" s="39" t="b">
        <v>0</v>
      </c>
      <c r="CB45" s="39" t="b">
        <v>0</v>
      </c>
      <c r="CC45" s="39" t="b">
        <v>1</v>
      </c>
      <c r="CD45" s="39" t="s">
        <v>393</v>
      </c>
      <c r="CE45" s="39" t="b">
        <v>0</v>
      </c>
      <c r="CF45" s="39" t="b">
        <v>0</v>
      </c>
      <c r="CG45" s="39" t="b">
        <v>0</v>
      </c>
      <c r="CH45" s="39" t="b">
        <v>0</v>
      </c>
      <c r="CI45" s="39" t="b">
        <v>0</v>
      </c>
      <c r="CJ45" s="39" t="b">
        <v>0</v>
      </c>
      <c r="CK45" s="39" t="b">
        <v>0</v>
      </c>
      <c r="CL45" s="39" t="b">
        <v>0</v>
      </c>
      <c r="CM45" s="39" t="b">
        <v>0</v>
      </c>
      <c r="CN45" s="39" t="s">
        <v>39</v>
      </c>
      <c r="CO45" s="57" t="e">
        <v>#N/A</v>
      </c>
      <c r="CP45" s="39" t="e">
        <v>#N/A</v>
      </c>
      <c r="CQ45" s="39" t="e">
        <v>#N/A</v>
      </c>
      <c r="CR45" s="37" t="e">
        <v>#N/A</v>
      </c>
      <c r="CS45" s="37" t="e">
        <v>#N/A</v>
      </c>
      <c r="CT45" s="37" t="e">
        <v>#N/A</v>
      </c>
      <c r="CU45" s="37" t="e">
        <v>#N/A</v>
      </c>
      <c r="CV45" s="37" t="e">
        <v>#N/A</v>
      </c>
      <c r="CW45" s="37" t="e">
        <v>#N/A</v>
      </c>
      <c r="CX45" s="39" t="b">
        <v>1</v>
      </c>
      <c r="CY45" s="39" t="b">
        <v>1</v>
      </c>
      <c r="CZ45" s="39" t="b">
        <v>1</v>
      </c>
      <c r="DA45" s="39" t="b">
        <v>0</v>
      </c>
      <c r="DB45" s="39" t="b">
        <v>1</v>
      </c>
      <c r="DC45" s="39" t="b">
        <v>1</v>
      </c>
      <c r="DD45" s="39" t="b">
        <v>0</v>
      </c>
      <c r="DE45" s="39" t="b">
        <v>0</v>
      </c>
      <c r="DF45" s="132" t="s">
        <v>1432</v>
      </c>
      <c r="DG45" s="39" t="s">
        <v>392</v>
      </c>
      <c r="DH45" s="39">
        <v>40665</v>
      </c>
      <c r="DI45" s="37" t="e">
        <v>#N/A</v>
      </c>
      <c r="DJ45" s="39">
        <v>40675</v>
      </c>
      <c r="DK45" s="39">
        <v>40689</v>
      </c>
      <c r="DL45" s="39" t="s">
        <v>276</v>
      </c>
      <c r="DM45" s="39" t="b">
        <f t="shared" si="0"/>
        <v>0</v>
      </c>
      <c r="DN45" s="38" t="str">
        <f t="shared" si="1"/>
        <v>7890_Indu_Z 17_ktion_5 M_200_10_F</v>
      </c>
    </row>
    <row r="46" spans="1:118" ht="15.75" customHeight="1" x14ac:dyDescent="0.25">
      <c r="A46" s="37">
        <v>41</v>
      </c>
      <c r="C46" s="37">
        <v>5350</v>
      </c>
      <c r="D46" s="132" t="s">
        <v>521</v>
      </c>
      <c r="E46" s="57" t="s">
        <v>109</v>
      </c>
      <c r="F46" s="132" t="s">
        <v>520</v>
      </c>
      <c r="G46" s="132" t="s">
        <v>519</v>
      </c>
      <c r="H46" s="132">
        <v>92263</v>
      </c>
      <c r="I46" s="39" t="s">
        <v>114</v>
      </c>
      <c r="J46" s="132" t="s">
        <v>518</v>
      </c>
      <c r="K46" s="132" t="s">
        <v>517</v>
      </c>
      <c r="L46" s="132" t="s">
        <v>516</v>
      </c>
      <c r="M46" s="132" t="s">
        <v>515</v>
      </c>
      <c r="N46" s="132" t="s">
        <v>1433</v>
      </c>
      <c r="O46" s="132" t="s">
        <v>1434</v>
      </c>
      <c r="P46" s="132" t="s">
        <v>1435</v>
      </c>
      <c r="Q46" s="132" t="s">
        <v>1436</v>
      </c>
      <c r="R46" s="37" t="e">
        <v>#N/A</v>
      </c>
      <c r="S46" s="39" t="s">
        <v>119</v>
      </c>
      <c r="T46" s="39" t="s">
        <v>120</v>
      </c>
      <c r="U46" s="40" t="s">
        <v>145</v>
      </c>
      <c r="V46" s="39" t="e">
        <v>#N/A</v>
      </c>
      <c r="W46" s="39" t="e">
        <v>#N/A</v>
      </c>
      <c r="X46" s="39" t="e">
        <v>#N/A</v>
      </c>
      <c r="Y46" s="39" t="s">
        <v>514</v>
      </c>
      <c r="Z46" s="39" t="s">
        <v>148</v>
      </c>
      <c r="AA46" s="39" t="s">
        <v>159</v>
      </c>
      <c r="AB46" s="132" t="e">
        <v>#N/A</v>
      </c>
      <c r="AC46" s="132" t="e">
        <v>#N/A</v>
      </c>
      <c r="AD46" s="102" t="e">
        <v>#N/A</v>
      </c>
      <c r="AE46" s="132" t="s">
        <v>1437</v>
      </c>
      <c r="AF46" s="132" t="s">
        <v>1438</v>
      </c>
      <c r="AG46" s="132" t="s">
        <v>1439</v>
      </c>
      <c r="AH46" s="41" t="s">
        <v>165</v>
      </c>
      <c r="AI46" s="39" t="s">
        <v>176</v>
      </c>
      <c r="AJ46" s="39" t="s">
        <v>181</v>
      </c>
      <c r="AK46" s="39">
        <v>42</v>
      </c>
      <c r="AL46" s="39" t="s">
        <v>192</v>
      </c>
      <c r="AM46" s="39">
        <v>42</v>
      </c>
      <c r="AN46" s="39" t="b">
        <v>0</v>
      </c>
      <c r="AO46" s="39" t="b">
        <v>0</v>
      </c>
      <c r="AP46" s="39" t="b">
        <v>0</v>
      </c>
      <c r="AQ46" s="39" t="b">
        <v>0</v>
      </c>
      <c r="AR46" s="39" t="b">
        <v>0</v>
      </c>
      <c r="AS46" s="39" t="b">
        <v>0</v>
      </c>
      <c r="AT46" s="39" t="b">
        <v>1</v>
      </c>
      <c r="AU46" s="39" t="b">
        <v>0</v>
      </c>
      <c r="AV46" s="39" t="b">
        <v>0</v>
      </c>
      <c r="AW46" s="39" t="b">
        <v>1</v>
      </c>
      <c r="AX46" s="39" t="s">
        <v>195</v>
      </c>
      <c r="AY46" s="37" t="e">
        <v>#N/A</v>
      </c>
      <c r="AZ46" s="37" t="e">
        <v>#N/A</v>
      </c>
      <c r="BA46" s="37" t="e">
        <v>#N/A</v>
      </c>
      <c r="BB46" s="37" t="e">
        <v>#N/A</v>
      </c>
      <c r="BC46" s="37" t="e">
        <v>#N/A</v>
      </c>
      <c r="BD46" s="37" t="e">
        <v>#N/A</v>
      </c>
      <c r="BE46" s="39" t="s">
        <v>201</v>
      </c>
      <c r="BF46" s="39">
        <v>64000</v>
      </c>
      <c r="BG46" s="37" t="e">
        <v>#N/A</v>
      </c>
      <c r="BH46" s="39" t="s">
        <v>33</v>
      </c>
      <c r="BI46" s="39" t="s">
        <v>202</v>
      </c>
      <c r="BJ46" s="39">
        <v>16000</v>
      </c>
      <c r="BK46" s="37" t="e">
        <v>#N/A</v>
      </c>
      <c r="BL46" s="39" t="s">
        <v>33</v>
      </c>
      <c r="BM46" s="39" t="s">
        <v>206</v>
      </c>
      <c r="BN46" s="39" t="s">
        <v>513</v>
      </c>
      <c r="BO46" s="39" t="s">
        <v>512</v>
      </c>
      <c r="BP46" s="39" t="s">
        <v>33</v>
      </c>
      <c r="BQ46" s="39" t="s">
        <v>210</v>
      </c>
      <c r="BR46" s="39" t="s">
        <v>104</v>
      </c>
      <c r="BS46" s="39" t="s">
        <v>209</v>
      </c>
      <c r="BT46" s="39" t="s">
        <v>33</v>
      </c>
      <c r="BU46" s="39" t="b">
        <v>0</v>
      </c>
      <c r="BV46" s="39" t="b">
        <v>0</v>
      </c>
      <c r="BW46" s="39" t="b">
        <v>0</v>
      </c>
      <c r="BX46" s="39" t="b">
        <v>0</v>
      </c>
      <c r="BY46" s="39" t="b">
        <v>0</v>
      </c>
      <c r="BZ46" s="39" t="b">
        <v>0</v>
      </c>
      <c r="CA46" s="39" t="b">
        <v>0</v>
      </c>
      <c r="CB46" s="39" t="b">
        <v>0</v>
      </c>
      <c r="CC46" s="39" t="b">
        <v>1</v>
      </c>
      <c r="CD46" s="39" t="s">
        <v>511</v>
      </c>
      <c r="CE46" s="39" t="b">
        <v>0</v>
      </c>
      <c r="CF46" s="39" t="b">
        <v>0</v>
      </c>
      <c r="CG46" s="39" t="b">
        <v>0</v>
      </c>
      <c r="CH46" s="39" t="b">
        <v>0</v>
      </c>
      <c r="CI46" s="39" t="b">
        <v>0</v>
      </c>
      <c r="CJ46" s="39" t="b">
        <v>0</v>
      </c>
      <c r="CK46" s="39" t="b">
        <v>0</v>
      </c>
      <c r="CL46" s="39" t="b">
        <v>0</v>
      </c>
      <c r="CM46" s="39" t="b">
        <v>0</v>
      </c>
      <c r="CN46" s="39" t="s">
        <v>33</v>
      </c>
      <c r="CO46" s="57" t="e">
        <v>#N/A</v>
      </c>
      <c r="CP46" s="39" t="e">
        <v>#N/A</v>
      </c>
      <c r="CQ46" s="39" t="e">
        <v>#N/A</v>
      </c>
      <c r="CR46" s="37" t="e">
        <v>#N/A</v>
      </c>
      <c r="CS46" s="39" t="s">
        <v>212</v>
      </c>
      <c r="CT46" s="39" t="s">
        <v>510</v>
      </c>
      <c r="CU46" s="39" t="s">
        <v>509</v>
      </c>
      <c r="CV46" s="39" t="s">
        <v>215</v>
      </c>
      <c r="CW46" s="39" t="s">
        <v>39</v>
      </c>
      <c r="CX46" s="39" t="b">
        <v>0</v>
      </c>
      <c r="CY46" s="39" t="b">
        <v>1</v>
      </c>
      <c r="CZ46" s="39" t="b">
        <v>1</v>
      </c>
      <c r="DA46" s="39" t="b">
        <v>0</v>
      </c>
      <c r="DB46" s="39" t="b">
        <v>1</v>
      </c>
      <c r="DC46" s="39" t="b">
        <v>1</v>
      </c>
      <c r="DD46" s="39" t="b">
        <v>0</v>
      </c>
      <c r="DE46" s="39" t="b">
        <v>0</v>
      </c>
      <c r="DF46" s="132" t="s">
        <v>1440</v>
      </c>
      <c r="DG46" s="39" t="s">
        <v>234</v>
      </c>
      <c r="DH46" s="39" t="s">
        <v>508</v>
      </c>
      <c r="DI46" s="39" t="s">
        <v>373</v>
      </c>
      <c r="DJ46" s="39" t="s">
        <v>507</v>
      </c>
      <c r="DK46" s="39" t="s">
        <v>402</v>
      </c>
      <c r="DL46" s="39" t="s">
        <v>231</v>
      </c>
      <c r="DM46" s="39" t="b">
        <f t="shared" si="0"/>
        <v>0</v>
      </c>
      <c r="DN46" s="38" t="str">
        <f t="shared" si="1"/>
        <v>5350_XXXX_Z 82_tung _1 M_20 _75_F</v>
      </c>
    </row>
    <row r="47" spans="1:118" ht="15.75" customHeight="1" x14ac:dyDescent="0.25">
      <c r="A47" s="37">
        <v>42</v>
      </c>
      <c r="C47" s="37">
        <v>3021</v>
      </c>
      <c r="D47" s="132" t="s">
        <v>688</v>
      </c>
      <c r="E47" s="57" t="s">
        <v>109</v>
      </c>
      <c r="F47" s="132" t="s">
        <v>687</v>
      </c>
      <c r="G47" s="132" t="s">
        <v>335</v>
      </c>
      <c r="H47" s="132">
        <v>93133</v>
      </c>
      <c r="I47" s="39" t="s">
        <v>114</v>
      </c>
      <c r="J47" s="132" t="s">
        <v>686</v>
      </c>
      <c r="K47" s="132" t="s">
        <v>685</v>
      </c>
      <c r="L47" s="132" t="s">
        <v>684</v>
      </c>
      <c r="M47" s="132" t="s">
        <v>683</v>
      </c>
      <c r="N47" s="132" t="s">
        <v>1441</v>
      </c>
      <c r="O47" s="132" t="s">
        <v>1442</v>
      </c>
      <c r="P47" s="132" t="e">
        <v>#N/A</v>
      </c>
      <c r="Q47" s="132" t="s">
        <v>1443</v>
      </c>
      <c r="R47" s="39" t="s">
        <v>121</v>
      </c>
      <c r="S47" s="39" t="e">
        <v>#N/A</v>
      </c>
      <c r="T47" s="39" t="e">
        <v>#N/A</v>
      </c>
      <c r="U47" s="40" t="s">
        <v>132</v>
      </c>
      <c r="V47" s="39" t="e">
        <v>#N/A</v>
      </c>
      <c r="W47" s="39" t="e">
        <v>#N/A</v>
      </c>
      <c r="X47" s="39" t="e">
        <v>#N/A</v>
      </c>
      <c r="Y47" s="39" t="s">
        <v>682</v>
      </c>
      <c r="Z47" s="39" t="s">
        <v>149</v>
      </c>
      <c r="AA47" s="39" t="s">
        <v>156</v>
      </c>
      <c r="AB47" s="132" t="e">
        <v>#N/A</v>
      </c>
      <c r="AC47" s="132" t="e">
        <v>#N/A</v>
      </c>
      <c r="AD47" s="102" t="e">
        <v>#N/A</v>
      </c>
      <c r="AE47" s="102" t="e">
        <v>#N/A</v>
      </c>
      <c r="AF47" s="102" t="e">
        <v>#N/A</v>
      </c>
      <c r="AG47" s="102" t="e">
        <v>#N/A</v>
      </c>
      <c r="AH47" s="41" t="s">
        <v>162</v>
      </c>
      <c r="AI47" s="39" t="s">
        <v>177</v>
      </c>
      <c r="AJ47" s="39" t="s">
        <v>181</v>
      </c>
      <c r="AK47" s="39" t="s">
        <v>681</v>
      </c>
      <c r="AL47" s="39" t="s">
        <v>190</v>
      </c>
      <c r="AM47" s="39" t="s">
        <v>680</v>
      </c>
      <c r="AN47" s="39" t="b">
        <v>1</v>
      </c>
      <c r="AO47" s="39" t="b">
        <v>1</v>
      </c>
      <c r="AP47" s="39" t="b">
        <v>0</v>
      </c>
      <c r="AQ47" s="39" t="b">
        <v>0</v>
      </c>
      <c r="AR47" s="39" t="b">
        <v>0</v>
      </c>
      <c r="AS47" s="39" t="b">
        <v>0</v>
      </c>
      <c r="AT47" s="39" t="b">
        <v>0</v>
      </c>
      <c r="AU47" s="39" t="b">
        <v>0</v>
      </c>
      <c r="AV47" s="39" t="b">
        <v>0</v>
      </c>
      <c r="AW47" s="39" t="b">
        <v>0</v>
      </c>
      <c r="AX47" s="39" t="s">
        <v>193</v>
      </c>
      <c r="AY47" s="39" t="s">
        <v>196</v>
      </c>
      <c r="AZ47" s="39" t="s">
        <v>199</v>
      </c>
      <c r="BA47" s="39" t="s">
        <v>199</v>
      </c>
      <c r="BB47" s="39" t="s">
        <v>199</v>
      </c>
      <c r="BC47" s="39" t="s">
        <v>199</v>
      </c>
      <c r="BD47" s="39" t="s">
        <v>199</v>
      </c>
      <c r="BE47" s="39" t="s">
        <v>201</v>
      </c>
      <c r="BF47" s="39">
        <v>216</v>
      </c>
      <c r="BG47" s="39" t="s">
        <v>679</v>
      </c>
      <c r="BH47" s="39" t="s">
        <v>39</v>
      </c>
      <c r="BI47" s="39" t="s">
        <v>202</v>
      </c>
      <c r="BJ47" s="37" t="e">
        <v>#N/A</v>
      </c>
      <c r="BK47" s="39" t="s">
        <v>679</v>
      </c>
      <c r="BL47" s="39" t="s">
        <v>39</v>
      </c>
      <c r="BM47" s="37" t="e">
        <v>#N/A</v>
      </c>
      <c r="BN47" s="37" t="e">
        <v>#N/A</v>
      </c>
      <c r="BO47" s="37" t="e">
        <v>#N/A</v>
      </c>
      <c r="BP47" s="37" t="e">
        <v>#N/A</v>
      </c>
      <c r="BQ47" s="39" t="s">
        <v>210</v>
      </c>
      <c r="BR47" s="39" t="s">
        <v>104</v>
      </c>
      <c r="BS47" s="39" t="s">
        <v>104</v>
      </c>
      <c r="BT47" s="39" t="s">
        <v>33</v>
      </c>
      <c r="BU47" s="39" t="b">
        <v>0</v>
      </c>
      <c r="BV47" s="39" t="b">
        <v>0</v>
      </c>
      <c r="BW47" s="39" t="b">
        <v>0</v>
      </c>
      <c r="BX47" s="39" t="b">
        <v>0</v>
      </c>
      <c r="BY47" s="39" t="b">
        <v>0</v>
      </c>
      <c r="BZ47" s="39" t="b">
        <v>0</v>
      </c>
      <c r="CA47" s="39" t="b">
        <v>0</v>
      </c>
      <c r="CB47" s="39" t="b">
        <v>0</v>
      </c>
      <c r="CC47" s="39" t="b">
        <v>1</v>
      </c>
      <c r="CD47" s="39" t="s">
        <v>678</v>
      </c>
      <c r="CE47" s="39" t="b">
        <v>0</v>
      </c>
      <c r="CF47" s="39" t="b">
        <v>0</v>
      </c>
      <c r="CG47" s="39" t="b">
        <v>0</v>
      </c>
      <c r="CH47" s="39" t="b">
        <v>0</v>
      </c>
      <c r="CI47" s="39" t="b">
        <v>0</v>
      </c>
      <c r="CJ47" s="39" t="b">
        <v>0</v>
      </c>
      <c r="CK47" s="39" t="b">
        <v>0</v>
      </c>
      <c r="CL47" s="39" t="b">
        <v>0</v>
      </c>
      <c r="CM47" s="39" t="b">
        <v>0</v>
      </c>
      <c r="CN47" s="39" t="s">
        <v>33</v>
      </c>
      <c r="CO47" s="57" t="e">
        <v>#N/A</v>
      </c>
      <c r="CP47" s="39" t="e">
        <v>#N/A</v>
      </c>
      <c r="CQ47" s="39" t="e">
        <v>#N/A</v>
      </c>
      <c r="CR47" s="37" t="e">
        <v>#N/A</v>
      </c>
      <c r="CS47" s="39" t="s">
        <v>212</v>
      </c>
      <c r="CT47" s="39" t="s">
        <v>677</v>
      </c>
      <c r="CU47" s="39" t="s">
        <v>676</v>
      </c>
      <c r="CV47" s="39" t="s">
        <v>104</v>
      </c>
      <c r="CW47" s="39" t="s">
        <v>39</v>
      </c>
      <c r="CX47" s="39" t="b">
        <v>1</v>
      </c>
      <c r="CY47" s="39" t="b">
        <v>1</v>
      </c>
      <c r="CZ47" s="39" t="b">
        <v>1</v>
      </c>
      <c r="DA47" s="39" t="b">
        <v>0</v>
      </c>
      <c r="DB47" s="39" t="b">
        <v>0</v>
      </c>
      <c r="DC47" s="39" t="b">
        <v>0</v>
      </c>
      <c r="DD47" s="39" t="b">
        <v>0</v>
      </c>
      <c r="DE47" s="39" t="b">
        <v>0</v>
      </c>
      <c r="DF47" s="132" t="s">
        <v>1444</v>
      </c>
      <c r="DG47" s="39" t="s">
        <v>267</v>
      </c>
      <c r="DH47" s="39">
        <v>40661</v>
      </c>
      <c r="DI47" s="39">
        <v>40694</v>
      </c>
      <c r="DJ47" s="39">
        <v>40695</v>
      </c>
      <c r="DK47" s="39">
        <v>40695</v>
      </c>
      <c r="DL47" s="39" t="s">
        <v>266</v>
      </c>
      <c r="DM47" s="39" t="b">
        <f t="shared" si="0"/>
        <v>0</v>
      </c>
      <c r="DN47" s="38" t="str">
        <f t="shared" si="1"/>
        <v>3021_Groß_Z 46_andel_5 M_20 _30_F</v>
      </c>
    </row>
    <row r="48" spans="1:118" ht="15.75" customHeight="1" x14ac:dyDescent="0.25">
      <c r="A48" s="37">
        <v>43</v>
      </c>
      <c r="C48" s="37">
        <v>4975</v>
      </c>
      <c r="D48" s="132" t="s">
        <v>573</v>
      </c>
      <c r="E48" s="57" t="s">
        <v>109</v>
      </c>
      <c r="F48" s="132" t="s">
        <v>572</v>
      </c>
      <c r="G48" s="132" t="s">
        <v>571</v>
      </c>
      <c r="H48" s="132">
        <v>95679</v>
      </c>
      <c r="I48" s="39" t="s">
        <v>114</v>
      </c>
      <c r="J48" s="132" t="s">
        <v>570</v>
      </c>
      <c r="K48" s="132" t="s">
        <v>569</v>
      </c>
      <c r="L48" s="132" t="e">
        <v>#N/A</v>
      </c>
      <c r="M48" s="132" t="s">
        <v>568</v>
      </c>
      <c r="N48" s="132" t="e">
        <v>#N/A</v>
      </c>
      <c r="O48" s="134" t="e">
        <v>#N/A</v>
      </c>
      <c r="P48" s="132" t="e">
        <v>#N/A</v>
      </c>
      <c r="Q48" s="132" t="e">
        <v>#N/A</v>
      </c>
      <c r="R48" s="39" t="s">
        <v>118</v>
      </c>
      <c r="S48" s="39" t="s">
        <v>119</v>
      </c>
      <c r="T48" s="39" t="e">
        <v>#N/A</v>
      </c>
      <c r="U48" s="40" t="s">
        <v>128</v>
      </c>
      <c r="V48" s="39" t="e">
        <v>#N/A</v>
      </c>
      <c r="W48" s="39" t="e">
        <v>#N/A</v>
      </c>
      <c r="X48" s="39" t="e">
        <v>#N/A</v>
      </c>
      <c r="Y48" s="39" t="s">
        <v>567</v>
      </c>
      <c r="Z48" s="39" t="s">
        <v>148</v>
      </c>
      <c r="AA48" s="39" t="s">
        <v>158</v>
      </c>
      <c r="AB48" s="132" t="e">
        <v>#N/A</v>
      </c>
      <c r="AC48" s="132" t="s">
        <v>1445</v>
      </c>
      <c r="AD48" s="132" t="s">
        <v>1446</v>
      </c>
      <c r="AE48" s="102" t="e">
        <v>#N/A</v>
      </c>
      <c r="AF48" s="102" t="e">
        <v>#N/A</v>
      </c>
      <c r="AG48" s="102" t="e">
        <v>#N/A</v>
      </c>
      <c r="AH48" s="41" t="s">
        <v>161</v>
      </c>
      <c r="AI48" s="39" t="s">
        <v>177</v>
      </c>
      <c r="AJ48" s="39" t="s">
        <v>182</v>
      </c>
      <c r="AK48" s="39" t="e">
        <v>#N/A</v>
      </c>
      <c r="AL48" s="39" t="s">
        <v>187</v>
      </c>
      <c r="AM48" s="39" t="e">
        <v>#N/A</v>
      </c>
      <c r="AN48" s="39" t="b">
        <v>0</v>
      </c>
      <c r="AO48" s="39" t="b">
        <v>0</v>
      </c>
      <c r="AP48" s="39" t="b">
        <v>0</v>
      </c>
      <c r="AQ48" s="39" t="b">
        <v>0</v>
      </c>
      <c r="AR48" s="39" t="b">
        <v>0</v>
      </c>
      <c r="AS48" s="39" t="b">
        <v>0</v>
      </c>
      <c r="AT48" s="39" t="b">
        <v>1</v>
      </c>
      <c r="AU48" s="39" t="b">
        <v>1</v>
      </c>
      <c r="AV48" s="39" t="b">
        <v>0</v>
      </c>
      <c r="AW48" s="39" t="b">
        <v>0</v>
      </c>
      <c r="AX48" s="39" t="s">
        <v>195</v>
      </c>
      <c r="AY48" s="37" t="e">
        <v>#N/A</v>
      </c>
      <c r="AZ48" s="37" t="e">
        <v>#N/A</v>
      </c>
      <c r="BA48" s="37" t="e">
        <v>#N/A</v>
      </c>
      <c r="BB48" s="37" t="e">
        <v>#N/A</v>
      </c>
      <c r="BC48" s="37" t="e">
        <v>#N/A</v>
      </c>
      <c r="BD48" s="37" t="e">
        <v>#N/A</v>
      </c>
      <c r="BE48" s="39" t="s">
        <v>201</v>
      </c>
      <c r="BF48" s="37" t="e">
        <v>#N/A</v>
      </c>
      <c r="BG48" s="37" t="e">
        <v>#N/A</v>
      </c>
      <c r="BH48" s="37" t="e">
        <v>#N/A</v>
      </c>
      <c r="BI48" s="39" t="s">
        <v>566</v>
      </c>
      <c r="BJ48" s="37" t="e">
        <v>#N/A</v>
      </c>
      <c r="BK48" s="37" t="e">
        <v>#N/A</v>
      </c>
      <c r="BL48" s="37" t="e">
        <v>#N/A</v>
      </c>
      <c r="BM48" s="39" t="s">
        <v>205</v>
      </c>
      <c r="BN48" s="37" t="e">
        <v>#N/A</v>
      </c>
      <c r="BO48" s="37" t="e">
        <v>#N/A</v>
      </c>
      <c r="BP48" s="37" t="e">
        <v>#N/A</v>
      </c>
      <c r="BQ48" s="39" t="s">
        <v>209</v>
      </c>
      <c r="BR48" s="39" t="s">
        <v>104</v>
      </c>
      <c r="BS48" s="39" t="s">
        <v>208</v>
      </c>
      <c r="BT48" s="39" t="s">
        <v>39</v>
      </c>
      <c r="BU48" s="39" t="b">
        <v>0</v>
      </c>
      <c r="BV48" s="39" t="b">
        <v>0</v>
      </c>
      <c r="BW48" s="39" t="b">
        <v>0</v>
      </c>
      <c r="BX48" s="39" t="b">
        <v>0</v>
      </c>
      <c r="BY48" s="39" t="b">
        <v>0</v>
      </c>
      <c r="BZ48" s="39" t="b">
        <v>0</v>
      </c>
      <c r="CA48" s="39" t="b">
        <v>0</v>
      </c>
      <c r="CB48" s="39" t="b">
        <v>0</v>
      </c>
      <c r="CC48" s="39" t="b">
        <v>1</v>
      </c>
      <c r="CD48" s="39" t="s">
        <v>565</v>
      </c>
      <c r="CE48" s="39" t="b">
        <v>0</v>
      </c>
      <c r="CF48" s="39" t="b">
        <v>0</v>
      </c>
      <c r="CG48" s="39" t="b">
        <v>0</v>
      </c>
      <c r="CH48" s="39" t="b">
        <v>0</v>
      </c>
      <c r="CI48" s="39" t="b">
        <v>0</v>
      </c>
      <c r="CJ48" s="39" t="b">
        <v>0</v>
      </c>
      <c r="CK48" s="39" t="b">
        <v>0</v>
      </c>
      <c r="CL48" s="39" t="b">
        <v>0</v>
      </c>
      <c r="CM48" s="39" t="b">
        <v>0</v>
      </c>
      <c r="CN48" s="39" t="s">
        <v>39</v>
      </c>
      <c r="CO48" s="57" t="e">
        <v>#N/A</v>
      </c>
      <c r="CP48" s="39" t="e">
        <v>#N/A</v>
      </c>
      <c r="CQ48" s="39" t="e">
        <v>#N/A</v>
      </c>
      <c r="CR48" s="37" t="e">
        <v>#N/A</v>
      </c>
      <c r="CS48" s="37" t="e">
        <v>#N/A</v>
      </c>
      <c r="CT48" s="37" t="e">
        <v>#N/A</v>
      </c>
      <c r="CU48" s="37" t="e">
        <v>#N/A</v>
      </c>
      <c r="CV48" s="37" t="e">
        <v>#N/A</v>
      </c>
      <c r="CW48" s="37" t="e">
        <v>#N/A</v>
      </c>
      <c r="CX48" s="39" t="b">
        <v>0</v>
      </c>
      <c r="CY48" s="39" t="b">
        <v>0</v>
      </c>
      <c r="CZ48" s="39" t="b">
        <v>0</v>
      </c>
      <c r="DA48" s="39" t="b">
        <v>0</v>
      </c>
      <c r="DB48" s="39" t="b">
        <v>0</v>
      </c>
      <c r="DC48" s="39" t="b">
        <v>0</v>
      </c>
      <c r="DD48" s="39" t="b">
        <v>0</v>
      </c>
      <c r="DE48" s="39" t="b">
        <v>0</v>
      </c>
      <c r="DF48" s="132" t="e">
        <v>#N/A</v>
      </c>
      <c r="DG48" s="39" t="s">
        <v>564</v>
      </c>
      <c r="DH48" s="39">
        <v>40707</v>
      </c>
      <c r="DI48" s="39">
        <v>40707</v>
      </c>
      <c r="DJ48" s="39">
        <v>40688</v>
      </c>
      <c r="DK48" s="39">
        <v>40707</v>
      </c>
      <c r="DL48" s="37" t="s">
        <v>348</v>
      </c>
      <c r="DM48" s="39" t="b">
        <f t="shared" si="0"/>
        <v>0</v>
      </c>
      <c r="DN48" s="38" t="str">
        <f t="shared" si="1"/>
        <v>4975_Indu_Z 25_ktion_5 M_50 _bi_F</v>
      </c>
    </row>
    <row r="49" spans="1:118" ht="15.75" customHeight="1" x14ac:dyDescent="0.25">
      <c r="A49" s="37">
        <v>44</v>
      </c>
      <c r="C49" s="37">
        <v>6825</v>
      </c>
      <c r="D49" s="132" t="s">
        <v>439</v>
      </c>
      <c r="E49" s="57" t="s">
        <v>109</v>
      </c>
      <c r="F49" s="132" t="s">
        <v>438</v>
      </c>
      <c r="G49" s="132" t="s">
        <v>437</v>
      </c>
      <c r="H49" s="132">
        <v>92253</v>
      </c>
      <c r="I49" s="39" t="s">
        <v>114</v>
      </c>
      <c r="J49" s="132">
        <v>49962218214</v>
      </c>
      <c r="K49" s="132">
        <v>49962218582</v>
      </c>
      <c r="L49" s="132" t="s">
        <v>436</v>
      </c>
      <c r="M49" s="132" t="s">
        <v>435</v>
      </c>
      <c r="N49" s="132" t="s">
        <v>1447</v>
      </c>
      <c r="O49" s="134" t="e">
        <v>#N/A</v>
      </c>
      <c r="P49" s="132" t="e">
        <v>#N/A</v>
      </c>
      <c r="Q49" s="132" t="e">
        <v>#N/A</v>
      </c>
      <c r="R49" s="37" t="e">
        <v>#N/A</v>
      </c>
      <c r="S49" s="39" t="s">
        <v>119</v>
      </c>
      <c r="T49" s="39" t="s">
        <v>120</v>
      </c>
      <c r="U49" s="86" t="e">
        <v>#N/A</v>
      </c>
      <c r="V49" s="39" t="e">
        <v>#N/A</v>
      </c>
      <c r="W49" s="39" t="e">
        <v>#N/A</v>
      </c>
      <c r="X49" s="39" t="e">
        <v>#N/A</v>
      </c>
      <c r="Y49" s="37" t="e">
        <v>#N/A</v>
      </c>
      <c r="Z49" s="39" t="s">
        <v>148</v>
      </c>
      <c r="AA49" s="39" t="s">
        <v>156</v>
      </c>
      <c r="AB49" s="132" t="e">
        <v>#N/A</v>
      </c>
      <c r="AC49" s="132" t="e">
        <v>#N/A</v>
      </c>
      <c r="AD49" s="102" t="e">
        <v>#N/A</v>
      </c>
      <c r="AE49" s="102" t="e">
        <v>#N/A</v>
      </c>
      <c r="AF49" s="102" t="e">
        <v>#N/A</v>
      </c>
      <c r="AG49" s="102" t="e">
        <v>#N/A</v>
      </c>
      <c r="AH49" s="41" t="s">
        <v>163</v>
      </c>
      <c r="AI49" s="39" t="s">
        <v>178</v>
      </c>
      <c r="AJ49" s="39" t="s">
        <v>181</v>
      </c>
      <c r="AK49" s="39">
        <v>39</v>
      </c>
      <c r="AL49" s="39" t="s">
        <v>192</v>
      </c>
      <c r="AM49" s="39">
        <v>1</v>
      </c>
      <c r="AN49" s="39" t="b">
        <v>1</v>
      </c>
      <c r="AO49" s="39" t="b">
        <v>0</v>
      </c>
      <c r="AP49" s="39" t="b">
        <v>1</v>
      </c>
      <c r="AQ49" s="39" t="b">
        <v>0</v>
      </c>
      <c r="AR49" s="39" t="b">
        <v>0</v>
      </c>
      <c r="AS49" s="39" t="b">
        <v>0</v>
      </c>
      <c r="AT49" s="39" t="b">
        <v>0</v>
      </c>
      <c r="AU49" s="39" t="b">
        <v>0</v>
      </c>
      <c r="AV49" s="39" t="b">
        <v>0</v>
      </c>
      <c r="AW49" s="39" t="b">
        <v>0</v>
      </c>
      <c r="AX49" s="39" t="s">
        <v>193</v>
      </c>
      <c r="AY49" s="39" t="s">
        <v>196</v>
      </c>
      <c r="AZ49" s="39" t="s">
        <v>200</v>
      </c>
      <c r="BA49" s="39" t="s">
        <v>196</v>
      </c>
      <c r="BB49" s="39" t="s">
        <v>199</v>
      </c>
      <c r="BC49" s="39" t="s">
        <v>200</v>
      </c>
      <c r="BD49" s="39" t="s">
        <v>200</v>
      </c>
      <c r="BE49" s="39" t="s">
        <v>201</v>
      </c>
      <c r="BF49" s="37" t="e">
        <v>#N/A</v>
      </c>
      <c r="BG49" s="37" t="e">
        <v>#N/A</v>
      </c>
      <c r="BH49" s="39" t="s">
        <v>39</v>
      </c>
      <c r="BI49" s="39" t="s">
        <v>202</v>
      </c>
      <c r="BJ49" s="37" t="e">
        <v>#N/A</v>
      </c>
      <c r="BK49" s="37" t="e">
        <v>#N/A</v>
      </c>
      <c r="BL49" s="39" t="s">
        <v>39</v>
      </c>
      <c r="BM49" s="39" t="s">
        <v>203</v>
      </c>
      <c r="BN49" s="37" t="e">
        <v>#N/A</v>
      </c>
      <c r="BO49" s="37" t="e">
        <v>#N/A</v>
      </c>
      <c r="BP49" s="39" t="s">
        <v>39</v>
      </c>
      <c r="BQ49" s="39" t="s">
        <v>208</v>
      </c>
      <c r="BR49" s="39" t="s">
        <v>208</v>
      </c>
      <c r="BS49" s="39" t="s">
        <v>104</v>
      </c>
      <c r="BT49" s="39" t="s">
        <v>33</v>
      </c>
      <c r="BU49" s="39" t="b">
        <v>1</v>
      </c>
      <c r="BV49" s="39" t="b">
        <v>0</v>
      </c>
      <c r="BW49" s="39" t="b">
        <v>0</v>
      </c>
      <c r="BX49" s="39" t="b">
        <v>1</v>
      </c>
      <c r="BY49" s="39" t="b">
        <v>0</v>
      </c>
      <c r="BZ49" s="39" t="b">
        <v>0</v>
      </c>
      <c r="CA49" s="39" t="b">
        <v>0</v>
      </c>
      <c r="CB49" s="39" t="b">
        <v>0</v>
      </c>
      <c r="CC49" s="39" t="b">
        <v>0</v>
      </c>
      <c r="CD49" s="39" t="e">
        <v>#N/A</v>
      </c>
      <c r="CE49" s="39" t="b">
        <v>1</v>
      </c>
      <c r="CF49" s="39" t="b">
        <v>1</v>
      </c>
      <c r="CG49" s="39" t="b">
        <v>0</v>
      </c>
      <c r="CH49" s="39" t="b">
        <v>0</v>
      </c>
      <c r="CI49" s="39" t="b">
        <v>0</v>
      </c>
      <c r="CJ49" s="39" t="b">
        <v>0</v>
      </c>
      <c r="CK49" s="39" t="b">
        <v>0</v>
      </c>
      <c r="CL49" s="39" t="b">
        <v>0</v>
      </c>
      <c r="CM49" s="39" t="b">
        <v>0</v>
      </c>
      <c r="CN49" s="39" t="s">
        <v>33</v>
      </c>
      <c r="CO49" s="57" t="s">
        <v>212</v>
      </c>
      <c r="CP49" s="39" t="s">
        <v>434</v>
      </c>
      <c r="CQ49" s="39" t="s">
        <v>433</v>
      </c>
      <c r="CR49" s="37" t="e">
        <v>#N/A</v>
      </c>
      <c r="CS49" s="37" t="e">
        <v>#N/A</v>
      </c>
      <c r="CT49" s="37" t="e">
        <v>#N/A</v>
      </c>
      <c r="CU49" s="37" t="e">
        <v>#N/A</v>
      </c>
      <c r="CV49" s="37" t="e">
        <v>#N/A</v>
      </c>
      <c r="CW49" s="39" t="s">
        <v>39</v>
      </c>
      <c r="CX49" s="39" t="b">
        <v>0</v>
      </c>
      <c r="CY49" s="39" t="b">
        <v>1</v>
      </c>
      <c r="CZ49" s="39" t="b">
        <v>1</v>
      </c>
      <c r="DA49" s="39" t="b">
        <v>0</v>
      </c>
      <c r="DB49" s="39" t="b">
        <v>1</v>
      </c>
      <c r="DC49" s="39" t="b">
        <v>1</v>
      </c>
      <c r="DD49" s="39" t="b">
        <v>1</v>
      </c>
      <c r="DE49" s="39" t="b">
        <v>1</v>
      </c>
      <c r="DF49" s="132" t="s">
        <v>1448</v>
      </c>
      <c r="DG49" s="39" t="s">
        <v>432</v>
      </c>
      <c r="DH49" s="39">
        <v>40716</v>
      </c>
      <c r="DI49" s="39">
        <v>40716</v>
      </c>
      <c r="DJ49" s="39">
        <v>40714</v>
      </c>
      <c r="DK49" s="39">
        <v>40716</v>
      </c>
      <c r="DL49" s="39" t="s">
        <v>307</v>
      </c>
      <c r="DM49" s="39" t="b">
        <f t="shared" si="0"/>
        <v>1</v>
      </c>
      <c r="DN49" s="38" t="str">
        <f t="shared" si="1"/>
        <v>6825_XXXX_XXXX_sport_übe_20 _75_W</v>
      </c>
    </row>
    <row r="50" spans="1:118" ht="15.75" customHeight="1" x14ac:dyDescent="0.25">
      <c r="A50" s="37">
        <v>45</v>
      </c>
      <c r="C50" s="37">
        <v>4220</v>
      </c>
      <c r="D50" s="132" t="s">
        <v>613</v>
      </c>
      <c r="E50" s="57" t="s">
        <v>110</v>
      </c>
      <c r="F50" s="132" t="s">
        <v>612</v>
      </c>
      <c r="G50" s="132" t="s">
        <v>611</v>
      </c>
      <c r="H50" s="132">
        <v>95671</v>
      </c>
      <c r="I50" s="39" t="s">
        <v>114</v>
      </c>
      <c r="J50" s="132" t="s">
        <v>610</v>
      </c>
      <c r="K50" s="132" t="s">
        <v>609</v>
      </c>
      <c r="L50" s="132" t="s">
        <v>608</v>
      </c>
      <c r="M50" s="132" t="s">
        <v>607</v>
      </c>
      <c r="N50" s="132" t="s">
        <v>1449</v>
      </c>
      <c r="O50" s="132" t="s">
        <v>1450</v>
      </c>
      <c r="P50" s="132" t="s">
        <v>1451</v>
      </c>
      <c r="Q50" s="132" t="s">
        <v>1452</v>
      </c>
      <c r="R50" s="39" t="s">
        <v>121</v>
      </c>
      <c r="S50" s="39" t="e">
        <v>#N/A</v>
      </c>
      <c r="T50" s="39" t="e">
        <v>#N/A</v>
      </c>
      <c r="U50" s="40" t="s">
        <v>132</v>
      </c>
      <c r="V50" s="39" t="e">
        <v>#N/A</v>
      </c>
      <c r="W50" s="39" t="e">
        <v>#N/A</v>
      </c>
      <c r="X50" s="39" t="e">
        <v>#N/A</v>
      </c>
      <c r="Y50" s="39" t="s">
        <v>606</v>
      </c>
      <c r="Z50" s="39" t="s">
        <v>148</v>
      </c>
      <c r="AA50" s="39" t="s">
        <v>156</v>
      </c>
      <c r="AB50" s="132" t="e">
        <v>#N/A</v>
      </c>
      <c r="AC50" s="132" t="e">
        <v>#N/A</v>
      </c>
      <c r="AD50" s="102" t="e">
        <v>#N/A</v>
      </c>
      <c r="AE50" s="102" t="e">
        <v>#N/A</v>
      </c>
      <c r="AF50" s="102" t="e">
        <v>#N/A</v>
      </c>
      <c r="AG50" s="102" t="e">
        <v>#N/A</v>
      </c>
      <c r="AH50" s="41" t="s">
        <v>162</v>
      </c>
      <c r="AI50" s="39" t="s">
        <v>177</v>
      </c>
      <c r="AJ50" s="39" t="s">
        <v>181</v>
      </c>
      <c r="AK50" s="39" t="e">
        <v>#N/A</v>
      </c>
      <c r="AL50" s="39" t="s">
        <v>188</v>
      </c>
      <c r="AM50" s="39" t="e">
        <v>#N/A</v>
      </c>
      <c r="AN50" s="39" t="b">
        <v>1</v>
      </c>
      <c r="AO50" s="39" t="b">
        <v>0</v>
      </c>
      <c r="AP50" s="39" t="b">
        <v>0</v>
      </c>
      <c r="AQ50" s="39" t="b">
        <v>0</v>
      </c>
      <c r="AR50" s="39" t="b">
        <v>0</v>
      </c>
      <c r="AS50" s="39" t="b">
        <v>1</v>
      </c>
      <c r="AT50" s="39" t="b">
        <v>0</v>
      </c>
      <c r="AU50" s="39" t="b">
        <v>0</v>
      </c>
      <c r="AV50" s="39" t="b">
        <v>0</v>
      </c>
      <c r="AW50" s="39" t="b">
        <v>0</v>
      </c>
      <c r="AX50" s="39" t="s">
        <v>195</v>
      </c>
      <c r="AY50" s="39" t="s">
        <v>196</v>
      </c>
      <c r="AZ50" s="39" t="s">
        <v>196</v>
      </c>
      <c r="BA50" s="39" t="s">
        <v>196</v>
      </c>
      <c r="BB50" s="39" t="s">
        <v>196</v>
      </c>
      <c r="BC50" s="39" t="s">
        <v>200</v>
      </c>
      <c r="BD50" s="39" t="s">
        <v>198</v>
      </c>
      <c r="BE50" s="39" t="s">
        <v>202</v>
      </c>
      <c r="BF50" s="39">
        <v>6000</v>
      </c>
      <c r="BG50" s="37" t="e">
        <v>#N/A</v>
      </c>
      <c r="BH50" s="39" t="s">
        <v>33</v>
      </c>
      <c r="BI50" s="39" t="e">
        <v>#N/A</v>
      </c>
      <c r="BJ50" s="37" t="e">
        <v>#N/A</v>
      </c>
      <c r="BK50" s="37" t="e">
        <v>#N/A</v>
      </c>
      <c r="BL50" s="37" t="e">
        <v>#N/A</v>
      </c>
      <c r="BM50" s="37" t="e">
        <v>#N/A</v>
      </c>
      <c r="BN50" s="37" t="e">
        <v>#N/A</v>
      </c>
      <c r="BO50" s="37" t="e">
        <v>#N/A</v>
      </c>
      <c r="BP50" s="37" t="e">
        <v>#N/A</v>
      </c>
      <c r="BQ50" s="39" t="s">
        <v>209</v>
      </c>
      <c r="BR50" s="39" t="s">
        <v>104</v>
      </c>
      <c r="BS50" s="39" t="s">
        <v>208</v>
      </c>
      <c r="BT50" s="39" t="s">
        <v>33</v>
      </c>
      <c r="BU50" s="39" t="b">
        <v>0</v>
      </c>
      <c r="BV50" s="39" t="b">
        <v>0</v>
      </c>
      <c r="BW50" s="39" t="b">
        <v>0</v>
      </c>
      <c r="BX50" s="39" t="b">
        <v>0</v>
      </c>
      <c r="BY50" s="39" t="b">
        <v>0</v>
      </c>
      <c r="BZ50" s="39" t="b">
        <v>0</v>
      </c>
      <c r="CA50" s="39" t="b">
        <v>0</v>
      </c>
      <c r="CB50" s="39" t="b">
        <v>0</v>
      </c>
      <c r="CC50" s="39" t="b">
        <v>1</v>
      </c>
      <c r="CD50" s="39" t="s">
        <v>393</v>
      </c>
      <c r="CE50" s="39" t="b">
        <v>1</v>
      </c>
      <c r="CF50" s="39" t="b">
        <v>1</v>
      </c>
      <c r="CG50" s="39" t="b">
        <v>1</v>
      </c>
      <c r="CH50" s="39" t="b">
        <v>1</v>
      </c>
      <c r="CI50" s="39" t="b">
        <v>0</v>
      </c>
      <c r="CJ50" s="39" t="b">
        <v>0</v>
      </c>
      <c r="CK50" s="39" t="b">
        <v>0</v>
      </c>
      <c r="CL50" s="39" t="b">
        <v>0</v>
      </c>
      <c r="CM50" s="39" t="b">
        <v>0</v>
      </c>
      <c r="CN50" s="39" t="s">
        <v>33</v>
      </c>
      <c r="CO50" s="57" t="s">
        <v>212</v>
      </c>
      <c r="CP50" s="39" t="s">
        <v>605</v>
      </c>
      <c r="CQ50" s="39" t="e">
        <v>#N/A</v>
      </c>
      <c r="CR50" s="39" t="s">
        <v>215</v>
      </c>
      <c r="CS50" s="37" t="e">
        <v>#N/A</v>
      </c>
      <c r="CT50" s="37" t="e">
        <v>#N/A</v>
      </c>
      <c r="CU50" s="37" t="e">
        <v>#N/A</v>
      </c>
      <c r="CV50" s="37" t="e">
        <v>#N/A</v>
      </c>
      <c r="CW50" s="39" t="s">
        <v>216</v>
      </c>
      <c r="CX50" s="39" t="b">
        <v>0</v>
      </c>
      <c r="CY50" s="39" t="b">
        <v>1</v>
      </c>
      <c r="CZ50" s="39" t="b">
        <v>1</v>
      </c>
      <c r="DA50" s="39" t="b">
        <v>0</v>
      </c>
      <c r="DB50" s="39" t="b">
        <v>0</v>
      </c>
      <c r="DC50" s="39" t="b">
        <v>0</v>
      </c>
      <c r="DD50" s="39" t="b">
        <v>0</v>
      </c>
      <c r="DE50" s="39" t="b">
        <v>0</v>
      </c>
      <c r="DF50" s="132" t="s">
        <v>1453</v>
      </c>
      <c r="DG50" s="39" t="s">
        <v>392</v>
      </c>
      <c r="DH50" s="39">
        <v>40665</v>
      </c>
      <c r="DI50" s="37" t="e">
        <v>#N/A</v>
      </c>
      <c r="DJ50" s="39">
        <v>40674</v>
      </c>
      <c r="DK50" s="39">
        <v>40680</v>
      </c>
      <c r="DL50" s="39" t="s">
        <v>276</v>
      </c>
      <c r="DM50" s="39" t="b">
        <f t="shared" si="0"/>
        <v>1</v>
      </c>
      <c r="DN50" s="38" t="str">
        <f t="shared" si="1"/>
        <v>4220_Groß_Z 46_andel_5 M_20 _10_W</v>
      </c>
    </row>
    <row r="51" spans="1:118" ht="15.75" customHeight="1" x14ac:dyDescent="0.25">
      <c r="A51" s="37">
        <v>46</v>
      </c>
      <c r="C51" s="37">
        <v>8823</v>
      </c>
      <c r="D51" s="132" t="s">
        <v>337</v>
      </c>
      <c r="E51" s="57" t="s">
        <v>109</v>
      </c>
      <c r="F51" s="132" t="s">
        <v>336</v>
      </c>
      <c r="G51" s="132" t="s">
        <v>335</v>
      </c>
      <c r="H51" s="132">
        <v>93133</v>
      </c>
      <c r="I51" s="39" t="s">
        <v>114</v>
      </c>
      <c r="J51" s="132" t="s">
        <v>334</v>
      </c>
      <c r="K51" s="132" t="s">
        <v>333</v>
      </c>
      <c r="L51" s="132" t="s">
        <v>332</v>
      </c>
      <c r="M51" s="132" t="s">
        <v>331</v>
      </c>
      <c r="N51" s="132" t="s">
        <v>1454</v>
      </c>
      <c r="O51" s="132" t="s">
        <v>1455</v>
      </c>
      <c r="P51" s="132" t="s">
        <v>1456</v>
      </c>
      <c r="Q51" s="132" t="s">
        <v>1457</v>
      </c>
      <c r="R51" s="39" t="s">
        <v>121</v>
      </c>
      <c r="S51" s="39" t="s">
        <v>122</v>
      </c>
      <c r="T51" s="39" t="e">
        <v>#N/A</v>
      </c>
      <c r="U51" s="40" t="s">
        <v>132</v>
      </c>
      <c r="V51" s="39" t="s">
        <v>133</v>
      </c>
      <c r="W51" s="39" t="e">
        <v>#N/A</v>
      </c>
      <c r="X51" s="39" t="e">
        <v>#N/A</v>
      </c>
      <c r="Y51" s="39" t="s">
        <v>330</v>
      </c>
      <c r="Z51" s="39" t="s">
        <v>150</v>
      </c>
      <c r="AA51" s="39" t="s">
        <v>158</v>
      </c>
      <c r="AB51" s="132" t="s">
        <v>1458</v>
      </c>
      <c r="AC51" s="132" t="e">
        <v>#N/A</v>
      </c>
      <c r="AD51" s="102" t="e">
        <v>#N/A</v>
      </c>
      <c r="AE51" s="102" t="e">
        <v>#N/A</v>
      </c>
      <c r="AF51" s="102" t="e">
        <v>#N/A</v>
      </c>
      <c r="AG51" s="102" t="e">
        <v>#N/A</v>
      </c>
      <c r="AH51" s="41" t="s">
        <v>162</v>
      </c>
      <c r="AI51" s="39" t="s">
        <v>177</v>
      </c>
      <c r="AJ51" s="39" t="s">
        <v>181</v>
      </c>
      <c r="AK51" s="39" t="s">
        <v>329</v>
      </c>
      <c r="AL51" s="39" t="s">
        <v>190</v>
      </c>
      <c r="AM51" s="39">
        <v>13</v>
      </c>
      <c r="AN51" s="39" t="b">
        <v>0</v>
      </c>
      <c r="AO51" s="39" t="b">
        <v>0</v>
      </c>
      <c r="AP51" s="39" t="b">
        <v>0</v>
      </c>
      <c r="AQ51" s="39" t="b">
        <v>0</v>
      </c>
      <c r="AR51" s="39" t="b">
        <v>0</v>
      </c>
      <c r="AS51" s="39" t="b">
        <v>0</v>
      </c>
      <c r="AT51" s="39" t="b">
        <v>1</v>
      </c>
      <c r="AU51" s="39" t="b">
        <v>0</v>
      </c>
      <c r="AV51" s="39" t="b">
        <v>0</v>
      </c>
      <c r="AW51" s="39" t="b">
        <v>1</v>
      </c>
      <c r="AX51" s="39" t="s">
        <v>194</v>
      </c>
      <c r="AY51" s="39" t="s">
        <v>196</v>
      </c>
      <c r="AZ51" s="39" t="s">
        <v>199</v>
      </c>
      <c r="BA51" s="39" t="s">
        <v>199</v>
      </c>
      <c r="BB51" s="39" t="s">
        <v>199</v>
      </c>
      <c r="BC51" s="39" t="s">
        <v>199</v>
      </c>
      <c r="BD51" s="39" t="s">
        <v>199</v>
      </c>
      <c r="BE51" s="39" t="s">
        <v>201</v>
      </c>
      <c r="BF51" s="37" t="e">
        <v>#N/A</v>
      </c>
      <c r="BG51" s="37" t="e">
        <v>#N/A</v>
      </c>
      <c r="BH51" s="39" t="s">
        <v>33</v>
      </c>
      <c r="BI51" s="39" t="s">
        <v>202</v>
      </c>
      <c r="BJ51" s="37" t="e">
        <v>#N/A</v>
      </c>
      <c r="BK51" s="37" t="e">
        <v>#N/A</v>
      </c>
      <c r="BL51" s="39" t="s">
        <v>33</v>
      </c>
      <c r="BM51" s="39" t="s">
        <v>206</v>
      </c>
      <c r="BN51" s="37" t="e">
        <v>#N/A</v>
      </c>
      <c r="BO51" s="37" t="e">
        <v>#N/A</v>
      </c>
      <c r="BP51" s="39" t="s">
        <v>33</v>
      </c>
      <c r="BQ51" s="39" t="s">
        <v>209</v>
      </c>
      <c r="BR51" s="39" t="s">
        <v>104</v>
      </c>
      <c r="BS51" s="39" t="s">
        <v>208</v>
      </c>
      <c r="BT51" s="39" t="s">
        <v>33</v>
      </c>
      <c r="BU51" s="39" t="b">
        <v>0</v>
      </c>
      <c r="BV51" s="39" t="b">
        <v>0</v>
      </c>
      <c r="BW51" s="39" t="b">
        <v>0</v>
      </c>
      <c r="BX51" s="39" t="b">
        <v>0</v>
      </c>
      <c r="BY51" s="39" t="b">
        <v>0</v>
      </c>
      <c r="BZ51" s="39" t="b">
        <v>0</v>
      </c>
      <c r="CA51" s="39" t="b">
        <v>0</v>
      </c>
      <c r="CB51" s="39" t="b">
        <v>0</v>
      </c>
      <c r="CC51" s="39" t="b">
        <v>1</v>
      </c>
      <c r="CD51" s="39" t="s">
        <v>328</v>
      </c>
      <c r="CE51" s="39" t="b">
        <v>0</v>
      </c>
      <c r="CF51" s="39" t="b">
        <v>0</v>
      </c>
      <c r="CG51" s="39" t="b">
        <v>0</v>
      </c>
      <c r="CH51" s="39" t="b">
        <v>0</v>
      </c>
      <c r="CI51" s="39" t="b">
        <v>0</v>
      </c>
      <c r="CJ51" s="39" t="b">
        <v>0</v>
      </c>
      <c r="CK51" s="39" t="b">
        <v>0</v>
      </c>
      <c r="CL51" s="39" t="b">
        <v>0</v>
      </c>
      <c r="CM51" s="39" t="b">
        <v>0</v>
      </c>
      <c r="CN51" s="39" t="s">
        <v>39</v>
      </c>
      <c r="CO51" s="57" t="e">
        <v>#N/A</v>
      </c>
      <c r="CP51" s="39" t="e">
        <v>#N/A</v>
      </c>
      <c r="CQ51" s="39" t="e">
        <v>#N/A</v>
      </c>
      <c r="CR51" s="37" t="e">
        <v>#N/A</v>
      </c>
      <c r="CS51" s="37" t="e">
        <v>#N/A</v>
      </c>
      <c r="CT51" s="37" t="e">
        <v>#N/A</v>
      </c>
      <c r="CU51" s="37" t="e">
        <v>#N/A</v>
      </c>
      <c r="CV51" s="37" t="e">
        <v>#N/A</v>
      </c>
      <c r="CW51" s="37" t="e">
        <v>#N/A</v>
      </c>
      <c r="CX51" s="39" t="b">
        <v>1</v>
      </c>
      <c r="CY51" s="39" t="b">
        <v>1</v>
      </c>
      <c r="CZ51" s="39" t="b">
        <v>1</v>
      </c>
      <c r="DA51" s="39" t="b">
        <v>0</v>
      </c>
      <c r="DB51" s="39" t="b">
        <v>1</v>
      </c>
      <c r="DC51" s="39" t="b">
        <v>1</v>
      </c>
      <c r="DD51" s="39" t="b">
        <v>1</v>
      </c>
      <c r="DE51" s="39" t="b">
        <v>1</v>
      </c>
      <c r="DF51" s="132" t="s">
        <v>1459</v>
      </c>
      <c r="DG51" s="39" t="s">
        <v>327</v>
      </c>
      <c r="DH51" s="39">
        <v>40694</v>
      </c>
      <c r="DI51" s="37" t="e">
        <v>#N/A</v>
      </c>
      <c r="DJ51" s="39">
        <v>40695</v>
      </c>
      <c r="DK51" s="39">
        <v>40695</v>
      </c>
      <c r="DL51" s="39" t="s">
        <v>266</v>
      </c>
      <c r="DM51" s="39" t="b">
        <f t="shared" si="0"/>
        <v>0</v>
      </c>
      <c r="DN51" s="38" t="str">
        <f t="shared" si="1"/>
        <v>8823_Groß_Z 46_andel_5 M_20 _30_F</v>
      </c>
    </row>
    <row r="52" spans="1:118" ht="15.75" customHeight="1" x14ac:dyDescent="0.25">
      <c r="A52" s="37">
        <v>47</v>
      </c>
      <c r="C52" s="37">
        <v>5262</v>
      </c>
      <c r="D52" s="132" t="s">
        <v>540</v>
      </c>
      <c r="E52" s="57" t="s">
        <v>109</v>
      </c>
      <c r="F52" s="132" t="s">
        <v>539</v>
      </c>
      <c r="G52" s="132" t="s">
        <v>538</v>
      </c>
      <c r="H52" s="132">
        <v>92685</v>
      </c>
      <c r="I52" s="39" t="s">
        <v>114</v>
      </c>
      <c r="J52" s="132" t="s">
        <v>537</v>
      </c>
      <c r="K52" s="132" t="s">
        <v>536</v>
      </c>
      <c r="L52" s="132" t="s">
        <v>535</v>
      </c>
      <c r="M52" s="132" t="s">
        <v>534</v>
      </c>
      <c r="N52" s="132" t="s">
        <v>1460</v>
      </c>
      <c r="O52" s="132" t="s">
        <v>1461</v>
      </c>
      <c r="P52" s="132" t="s">
        <v>1462</v>
      </c>
      <c r="Q52" s="132" t="s">
        <v>1463</v>
      </c>
      <c r="R52" s="39" t="s">
        <v>117</v>
      </c>
      <c r="S52" s="39" t="e">
        <v>#N/A</v>
      </c>
      <c r="T52" s="39" t="e">
        <v>#N/A</v>
      </c>
      <c r="U52" s="40" t="s">
        <v>130</v>
      </c>
      <c r="V52" s="39" t="e">
        <v>#N/A</v>
      </c>
      <c r="W52" s="39" t="e">
        <v>#N/A</v>
      </c>
      <c r="X52" s="39" t="e">
        <v>#N/A</v>
      </c>
      <c r="Y52" s="39" t="s">
        <v>533</v>
      </c>
      <c r="Z52" s="39" t="s">
        <v>150</v>
      </c>
      <c r="AA52" s="39" t="s">
        <v>157</v>
      </c>
      <c r="AB52" s="132" t="e">
        <v>#N/A</v>
      </c>
      <c r="AC52" s="132" t="e">
        <v>#N/A</v>
      </c>
      <c r="AD52" s="102" t="e">
        <v>#N/A</v>
      </c>
      <c r="AE52" s="102" t="e">
        <v>#N/A</v>
      </c>
      <c r="AF52" s="102" t="e">
        <v>#N/A</v>
      </c>
      <c r="AG52" s="102" t="e">
        <v>#N/A</v>
      </c>
      <c r="AH52" s="41" t="s">
        <v>161</v>
      </c>
      <c r="AI52" s="39" t="s">
        <v>178</v>
      </c>
      <c r="AJ52" s="39" t="s">
        <v>184</v>
      </c>
      <c r="AK52" s="39" t="e">
        <v>#N/A</v>
      </c>
      <c r="AL52" s="39" t="s">
        <v>187</v>
      </c>
      <c r="AM52" s="39" t="e">
        <v>#N/A</v>
      </c>
      <c r="AN52" s="39" t="b">
        <v>1</v>
      </c>
      <c r="AO52" s="39" t="b">
        <v>1</v>
      </c>
      <c r="AP52" s="39" t="b">
        <v>0</v>
      </c>
      <c r="AQ52" s="39" t="b">
        <v>0</v>
      </c>
      <c r="AR52" s="39" t="b">
        <v>0</v>
      </c>
      <c r="AS52" s="39" t="b">
        <v>0</v>
      </c>
      <c r="AT52" s="39" t="b">
        <v>0</v>
      </c>
      <c r="AU52" s="39" t="b">
        <v>0</v>
      </c>
      <c r="AV52" s="39" t="b">
        <v>0</v>
      </c>
      <c r="AW52" s="39" t="b">
        <v>0</v>
      </c>
      <c r="AX52" s="39" t="s">
        <v>194</v>
      </c>
      <c r="AY52" s="39" t="s">
        <v>196</v>
      </c>
      <c r="AZ52" s="39" t="s">
        <v>200</v>
      </c>
      <c r="BA52" s="39" t="s">
        <v>196</v>
      </c>
      <c r="BB52" s="39" t="s">
        <v>196</v>
      </c>
      <c r="BC52" s="39" t="s">
        <v>196</v>
      </c>
      <c r="BD52" s="39" t="s">
        <v>200</v>
      </c>
      <c r="BE52" s="39" t="s">
        <v>202</v>
      </c>
      <c r="BF52" s="37" t="e">
        <v>#N/A</v>
      </c>
      <c r="BG52" s="39" t="s">
        <v>532</v>
      </c>
      <c r="BH52" s="39" t="s">
        <v>33</v>
      </c>
      <c r="BI52" s="39" t="s">
        <v>205</v>
      </c>
      <c r="BJ52" s="37" t="e">
        <v>#N/A</v>
      </c>
      <c r="BK52" s="39" t="s">
        <v>532</v>
      </c>
      <c r="BL52" s="39" t="s">
        <v>33</v>
      </c>
      <c r="BM52" s="39" t="s">
        <v>206</v>
      </c>
      <c r="BN52" s="37" t="e">
        <v>#N/A</v>
      </c>
      <c r="BO52" s="39" t="s">
        <v>531</v>
      </c>
      <c r="BP52" s="39" t="s">
        <v>33</v>
      </c>
      <c r="BQ52" s="39" t="s">
        <v>210</v>
      </c>
      <c r="BR52" s="37" t="e">
        <v>#N/A</v>
      </c>
      <c r="BS52" s="39" t="s">
        <v>208</v>
      </c>
      <c r="BT52" s="39" t="s">
        <v>33</v>
      </c>
      <c r="BU52" s="39" t="b">
        <v>1</v>
      </c>
      <c r="BV52" s="39" t="b">
        <v>1</v>
      </c>
      <c r="BW52" s="39" t="b">
        <v>0</v>
      </c>
      <c r="BX52" s="39" t="b">
        <v>1</v>
      </c>
      <c r="BY52" s="39" t="b">
        <v>1</v>
      </c>
      <c r="BZ52" s="39" t="b">
        <v>1</v>
      </c>
      <c r="CA52" s="39" t="b">
        <v>0</v>
      </c>
      <c r="CB52" s="39" t="b">
        <v>0</v>
      </c>
      <c r="CC52" s="39" t="b">
        <v>0</v>
      </c>
      <c r="CD52" s="39" t="e">
        <v>#N/A</v>
      </c>
      <c r="CE52" s="39" t="b">
        <v>1</v>
      </c>
      <c r="CF52" s="39" t="b">
        <v>1</v>
      </c>
      <c r="CG52" s="39" t="b">
        <v>1</v>
      </c>
      <c r="CH52" s="39" t="b">
        <v>1</v>
      </c>
      <c r="CI52" s="39" t="b">
        <v>1</v>
      </c>
      <c r="CJ52" s="39" t="b">
        <v>1</v>
      </c>
      <c r="CK52" s="39" t="b">
        <v>1</v>
      </c>
      <c r="CL52" s="39" t="b">
        <v>1</v>
      </c>
      <c r="CM52" s="39" t="b">
        <v>0</v>
      </c>
      <c r="CN52" s="39" t="s">
        <v>39</v>
      </c>
      <c r="CO52" s="57" t="e">
        <v>#N/A</v>
      </c>
      <c r="CP52" s="39" t="e">
        <v>#N/A</v>
      </c>
      <c r="CQ52" s="39" t="e">
        <v>#N/A</v>
      </c>
      <c r="CR52" s="37" t="e">
        <v>#N/A</v>
      </c>
      <c r="CS52" s="37" t="e">
        <v>#N/A</v>
      </c>
      <c r="CT52" s="37" t="e">
        <v>#N/A</v>
      </c>
      <c r="CU52" s="37" t="e">
        <v>#N/A</v>
      </c>
      <c r="CV52" s="37" t="e">
        <v>#N/A</v>
      </c>
      <c r="CW52" s="37" t="e">
        <v>#N/A</v>
      </c>
      <c r="CX52" s="39" t="b">
        <v>1</v>
      </c>
      <c r="CY52" s="39" t="b">
        <v>1</v>
      </c>
      <c r="CZ52" s="39" t="b">
        <v>1</v>
      </c>
      <c r="DA52" s="39" t="b">
        <v>0</v>
      </c>
      <c r="DB52" s="39" t="b">
        <v>1</v>
      </c>
      <c r="DC52" s="39" t="b">
        <v>1</v>
      </c>
      <c r="DD52" s="39" t="b">
        <v>0</v>
      </c>
      <c r="DE52" s="39" t="b">
        <v>1</v>
      </c>
      <c r="DF52" s="132" t="s">
        <v>1464</v>
      </c>
      <c r="DG52" s="39" t="s">
        <v>424</v>
      </c>
      <c r="DH52" s="39">
        <v>40679</v>
      </c>
      <c r="DI52" s="39">
        <v>40710</v>
      </c>
      <c r="DJ52" s="39">
        <v>40695</v>
      </c>
      <c r="DK52" s="39">
        <v>40710</v>
      </c>
      <c r="DL52" s="37" t="s">
        <v>348</v>
      </c>
      <c r="DM52" s="39" t="b">
        <f t="shared" si="0"/>
        <v>1</v>
      </c>
      <c r="DN52" s="38" t="str">
        <f t="shared" si="1"/>
        <v>5262_Auto_Z 27_ktion_übe_200_bi_W</v>
      </c>
    </row>
    <row r="53" spans="1:118" ht="15.75" customHeight="1" x14ac:dyDescent="0.25">
      <c r="A53" s="37">
        <v>48</v>
      </c>
      <c r="C53" s="37">
        <v>4124</v>
      </c>
      <c r="D53" s="132" t="s">
        <v>622</v>
      </c>
      <c r="E53" s="57" t="s">
        <v>109</v>
      </c>
      <c r="F53" s="132" t="s">
        <v>621</v>
      </c>
      <c r="G53" s="132" t="s">
        <v>620</v>
      </c>
      <c r="H53" s="132">
        <v>95519</v>
      </c>
      <c r="I53" s="39" t="s">
        <v>114</v>
      </c>
      <c r="J53" s="132" t="s">
        <v>619</v>
      </c>
      <c r="K53" s="132" t="s">
        <v>618</v>
      </c>
      <c r="L53" s="132" t="s">
        <v>617</v>
      </c>
      <c r="M53" s="132" t="s">
        <v>616</v>
      </c>
      <c r="N53" s="132" t="e">
        <v>#N/A</v>
      </c>
      <c r="O53" s="132" t="s">
        <v>1465</v>
      </c>
      <c r="P53" s="132" t="s">
        <v>1466</v>
      </c>
      <c r="Q53" s="132" t="s">
        <v>1467</v>
      </c>
      <c r="R53" s="39" t="s">
        <v>117</v>
      </c>
      <c r="S53" s="39" t="s">
        <v>118</v>
      </c>
      <c r="T53" s="39" t="e">
        <v>#N/A</v>
      </c>
      <c r="U53" s="40" t="s">
        <v>130</v>
      </c>
      <c r="V53" s="39" t="e">
        <v>#N/A</v>
      </c>
      <c r="W53" s="39" t="e">
        <v>#N/A</v>
      </c>
      <c r="X53" s="39" t="e">
        <v>#N/A</v>
      </c>
      <c r="Y53" s="39" t="s">
        <v>615</v>
      </c>
      <c r="Z53" s="39" t="s">
        <v>151</v>
      </c>
      <c r="AA53" s="39" t="s">
        <v>157</v>
      </c>
      <c r="AB53" s="132" t="e">
        <v>#N/A</v>
      </c>
      <c r="AC53" s="132" t="e">
        <v>#N/A</v>
      </c>
      <c r="AD53" s="102" t="e">
        <v>#N/A</v>
      </c>
      <c r="AE53" s="102" t="e">
        <v>#N/A</v>
      </c>
      <c r="AF53" s="102" t="e">
        <v>#N/A</v>
      </c>
      <c r="AG53" s="102" t="e">
        <v>#N/A</v>
      </c>
      <c r="AH53" s="41" t="s">
        <v>161</v>
      </c>
      <c r="AI53" s="39" t="s">
        <v>177</v>
      </c>
      <c r="AJ53" s="39" t="s">
        <v>185</v>
      </c>
      <c r="AK53" s="39" t="e">
        <v>#N/A</v>
      </c>
      <c r="AL53" s="39" t="s">
        <v>187</v>
      </c>
      <c r="AM53" s="39" t="e">
        <v>#N/A</v>
      </c>
      <c r="AN53" s="39" t="b">
        <v>0</v>
      </c>
      <c r="AO53" s="39" t="b">
        <v>0</v>
      </c>
      <c r="AP53" s="39" t="b">
        <v>0</v>
      </c>
      <c r="AQ53" s="39" t="b">
        <v>0</v>
      </c>
      <c r="AR53" s="39" t="b">
        <v>0</v>
      </c>
      <c r="AS53" s="39" t="b">
        <v>0</v>
      </c>
      <c r="AT53" s="39" t="b">
        <v>1</v>
      </c>
      <c r="AU53" s="39" t="b">
        <v>1</v>
      </c>
      <c r="AV53" s="39" t="b">
        <v>0</v>
      </c>
      <c r="AW53" s="39" t="b">
        <v>0</v>
      </c>
      <c r="AX53" s="39" t="s">
        <v>195</v>
      </c>
      <c r="AY53" s="39" t="s">
        <v>196</v>
      </c>
      <c r="AZ53" s="39" t="s">
        <v>199</v>
      </c>
      <c r="BA53" s="39" t="s">
        <v>197</v>
      </c>
      <c r="BB53" s="39" t="s">
        <v>196</v>
      </c>
      <c r="BC53" s="39" t="s">
        <v>196</v>
      </c>
      <c r="BD53" s="39" t="s">
        <v>199</v>
      </c>
      <c r="BE53" s="39" t="s">
        <v>201</v>
      </c>
      <c r="BF53" s="72" t="e">
        <v>#N/A</v>
      </c>
      <c r="BG53" s="72" t="e">
        <v>#N/A</v>
      </c>
      <c r="BH53" s="39" t="s">
        <v>33</v>
      </c>
      <c r="BI53" s="39" t="s">
        <v>203</v>
      </c>
      <c r="BJ53" s="72" t="e">
        <v>#N/A</v>
      </c>
      <c r="BK53" s="72" t="e">
        <v>#N/A</v>
      </c>
      <c r="BL53" s="39" t="s">
        <v>33</v>
      </c>
      <c r="BM53" s="39" t="s">
        <v>206</v>
      </c>
      <c r="BN53" s="72" t="e">
        <v>#N/A</v>
      </c>
      <c r="BO53" s="72" t="e">
        <v>#N/A</v>
      </c>
      <c r="BP53" s="39" t="s">
        <v>33</v>
      </c>
      <c r="BQ53" s="39" t="s">
        <v>209</v>
      </c>
      <c r="BR53" s="39" t="s">
        <v>104</v>
      </c>
      <c r="BS53" s="39" t="s">
        <v>209</v>
      </c>
      <c r="BT53" s="39" t="s">
        <v>33</v>
      </c>
      <c r="BU53" s="39" t="b">
        <v>0</v>
      </c>
      <c r="BV53" s="39" t="b">
        <v>0</v>
      </c>
      <c r="BW53" s="39" t="b">
        <v>0</v>
      </c>
      <c r="BX53" s="39" t="b">
        <v>0</v>
      </c>
      <c r="BY53" s="39" t="b">
        <v>0</v>
      </c>
      <c r="BZ53" s="39" t="b">
        <v>0</v>
      </c>
      <c r="CA53" s="39" t="b">
        <v>0</v>
      </c>
      <c r="CB53" s="39" t="b">
        <v>0</v>
      </c>
      <c r="CC53" s="39" t="b">
        <v>1</v>
      </c>
      <c r="CD53" s="39" t="e">
        <v>#N/A</v>
      </c>
      <c r="CE53" s="39" t="b">
        <v>0</v>
      </c>
      <c r="CF53" s="39" t="b">
        <v>0</v>
      </c>
      <c r="CG53" s="39" t="b">
        <v>0</v>
      </c>
      <c r="CH53" s="39" t="b">
        <v>0</v>
      </c>
      <c r="CI53" s="39" t="b">
        <v>0</v>
      </c>
      <c r="CJ53" s="39" t="b">
        <v>0</v>
      </c>
      <c r="CK53" s="39" t="b">
        <v>1</v>
      </c>
      <c r="CL53" s="39" t="b">
        <v>0</v>
      </c>
      <c r="CM53" s="39" t="b">
        <v>0</v>
      </c>
      <c r="CN53" s="39" t="s">
        <v>211</v>
      </c>
      <c r="CO53" s="57" t="s">
        <v>212</v>
      </c>
      <c r="CP53" s="72" t="e">
        <v>#N/A</v>
      </c>
      <c r="CQ53" s="39" t="e">
        <v>#N/A</v>
      </c>
      <c r="CR53" s="39" t="s">
        <v>215</v>
      </c>
      <c r="CS53" s="72" t="e">
        <v>#N/A</v>
      </c>
      <c r="CT53" s="72" t="e">
        <v>#N/A</v>
      </c>
      <c r="CU53" s="72" t="e">
        <v>#N/A</v>
      </c>
      <c r="CV53" s="72" t="e">
        <v>#N/A</v>
      </c>
      <c r="CW53" s="39" t="s">
        <v>39</v>
      </c>
      <c r="CX53" s="39" t="b">
        <v>1</v>
      </c>
      <c r="CY53" s="39" t="b">
        <v>0</v>
      </c>
      <c r="CZ53" s="39" t="b">
        <v>1</v>
      </c>
      <c r="DA53" s="39" t="b">
        <v>0</v>
      </c>
      <c r="DB53" s="39" t="b">
        <v>0</v>
      </c>
      <c r="DC53" s="39" t="b">
        <v>1</v>
      </c>
      <c r="DD53" s="39" t="b">
        <v>1</v>
      </c>
      <c r="DE53" s="39" t="b">
        <v>1</v>
      </c>
      <c r="DF53" s="132" t="s">
        <v>1468</v>
      </c>
      <c r="DG53" s="39" t="s">
        <v>614</v>
      </c>
      <c r="DH53" s="72" t="e">
        <v>#N/A</v>
      </c>
      <c r="DI53" s="72" t="e">
        <v>#N/A</v>
      </c>
      <c r="DJ53" s="72" t="e">
        <v>#N/A</v>
      </c>
      <c r="DK53" s="72" t="e">
        <v>#N/A</v>
      </c>
      <c r="DL53" s="39" t="s">
        <v>231</v>
      </c>
      <c r="DM53" s="39" t="b">
        <f t="shared" si="0"/>
        <v>1</v>
      </c>
      <c r="DN53" s="38" t="str">
        <f t="shared" si="1"/>
        <v>4124_Auto_Z 27_ktion_5 M_500_bi_W</v>
      </c>
    </row>
    <row r="54" spans="1:118" ht="15.75" customHeight="1" x14ac:dyDescent="0.25">
      <c r="A54" s="37">
        <v>49</v>
      </c>
      <c r="C54" s="37">
        <v>4801</v>
      </c>
      <c r="D54" s="132" t="s">
        <v>578</v>
      </c>
      <c r="E54" s="57" t="s">
        <v>109</v>
      </c>
      <c r="F54" s="132" t="s">
        <v>577</v>
      </c>
      <c r="G54" s="132" t="s">
        <v>576</v>
      </c>
      <c r="H54" s="132">
        <v>92536</v>
      </c>
      <c r="I54" s="39" t="s">
        <v>114</v>
      </c>
      <c r="J54" s="132" t="s">
        <v>575</v>
      </c>
      <c r="K54" s="132" t="e">
        <v>#N/A</v>
      </c>
      <c r="L54" s="132" t="e">
        <v>#N/A</v>
      </c>
      <c r="M54" s="132" t="s">
        <v>574</v>
      </c>
      <c r="N54" s="132" t="s">
        <v>1469</v>
      </c>
      <c r="O54" s="132" t="s">
        <v>1470</v>
      </c>
      <c r="P54" s="132" t="s">
        <v>1471</v>
      </c>
      <c r="Q54" s="132" t="s">
        <v>1472</v>
      </c>
      <c r="R54" s="39" t="s">
        <v>120</v>
      </c>
      <c r="S54" s="39" t="e">
        <v>#N/A</v>
      </c>
      <c r="T54" s="39" t="e">
        <v>#N/A</v>
      </c>
      <c r="U54" s="40" t="s">
        <v>137</v>
      </c>
      <c r="V54" s="39" t="e">
        <v>#N/A</v>
      </c>
      <c r="W54" s="39" t="e">
        <v>#N/A</v>
      </c>
      <c r="X54" s="39" t="e">
        <v>#N/A</v>
      </c>
      <c r="Y54" s="37" t="e">
        <v>#N/A</v>
      </c>
      <c r="Z54" s="39" t="s">
        <v>148</v>
      </c>
      <c r="AA54" s="39" t="s">
        <v>157</v>
      </c>
      <c r="AB54" s="132" t="e">
        <v>#N/A</v>
      </c>
      <c r="AC54" s="132" t="e">
        <v>#N/A</v>
      </c>
      <c r="AD54" s="102" t="e">
        <v>#N/A</v>
      </c>
      <c r="AE54" s="102" t="e">
        <v>#N/A</v>
      </c>
      <c r="AF54" s="102" t="e">
        <v>#N/A</v>
      </c>
      <c r="AG54" s="102" t="e">
        <v>#N/A</v>
      </c>
      <c r="AH54" s="41" t="s">
        <v>163</v>
      </c>
      <c r="AI54" s="39" t="s">
        <v>177</v>
      </c>
      <c r="AJ54" s="39" t="s">
        <v>183</v>
      </c>
      <c r="AK54" s="39" t="e">
        <v>#N/A</v>
      </c>
      <c r="AL54" s="37" t="e">
        <v>#N/A</v>
      </c>
      <c r="AM54" s="39" t="e">
        <v>#N/A</v>
      </c>
      <c r="AN54" s="39" t="b">
        <v>0</v>
      </c>
      <c r="AO54" s="39" t="b">
        <v>0</v>
      </c>
      <c r="AP54" s="39" t="b">
        <v>0</v>
      </c>
      <c r="AQ54" s="39" t="b">
        <v>0</v>
      </c>
      <c r="AR54" s="39" t="b">
        <v>0</v>
      </c>
      <c r="AS54" s="39" t="b">
        <v>0</v>
      </c>
      <c r="AT54" s="39" t="b">
        <v>0</v>
      </c>
      <c r="AU54" s="39" t="b">
        <v>0</v>
      </c>
      <c r="AV54" s="39" t="b">
        <v>0</v>
      </c>
      <c r="AW54" s="39" t="b">
        <v>0</v>
      </c>
      <c r="AX54" s="39" t="s">
        <v>193</v>
      </c>
      <c r="AY54" s="39" t="s">
        <v>196</v>
      </c>
      <c r="AZ54" s="37" t="e">
        <v>#N/A</v>
      </c>
      <c r="BA54" s="39" t="s">
        <v>196</v>
      </c>
      <c r="BB54" s="37" t="e">
        <v>#N/A</v>
      </c>
      <c r="BC54" s="37" t="e">
        <v>#N/A</v>
      </c>
      <c r="BD54" s="39" t="s">
        <v>199</v>
      </c>
      <c r="BE54" s="37" t="e">
        <v>#N/A</v>
      </c>
      <c r="BF54" s="72" t="e">
        <v>#N/A</v>
      </c>
      <c r="BG54" s="72" t="e">
        <v>#N/A</v>
      </c>
      <c r="BH54" s="72" t="e">
        <v>#N/A</v>
      </c>
      <c r="BI54" s="39" t="e">
        <v>#N/A</v>
      </c>
      <c r="BJ54" s="72" t="e">
        <v>#N/A</v>
      </c>
      <c r="BK54" s="72" t="e">
        <v>#N/A</v>
      </c>
      <c r="BL54" s="72" t="e">
        <v>#N/A</v>
      </c>
      <c r="BM54" s="37" t="e">
        <v>#N/A</v>
      </c>
      <c r="BN54" s="72" t="e">
        <v>#N/A</v>
      </c>
      <c r="BO54" s="72" t="e">
        <v>#N/A</v>
      </c>
      <c r="BP54" s="72" t="e">
        <v>#N/A</v>
      </c>
      <c r="BQ54" s="39" t="s">
        <v>210</v>
      </c>
      <c r="BR54" s="72" t="e">
        <v>#N/A</v>
      </c>
      <c r="BS54" s="72" t="e">
        <v>#N/A</v>
      </c>
      <c r="BT54" s="39" t="s">
        <v>33</v>
      </c>
      <c r="BU54" s="39" t="b">
        <v>0</v>
      </c>
      <c r="BV54" s="39" t="b">
        <v>0</v>
      </c>
      <c r="BW54" s="39" t="b">
        <v>0</v>
      </c>
      <c r="BX54" s="39" t="b">
        <v>0</v>
      </c>
      <c r="BY54" s="39" t="b">
        <v>0</v>
      </c>
      <c r="BZ54" s="39" t="b">
        <v>0</v>
      </c>
      <c r="CA54" s="39" t="b">
        <v>0</v>
      </c>
      <c r="CB54" s="39" t="b">
        <v>0</v>
      </c>
      <c r="CC54" s="39" t="b">
        <v>1</v>
      </c>
      <c r="CD54" s="39" t="e">
        <v>#N/A</v>
      </c>
      <c r="CE54" s="39" t="b">
        <v>0</v>
      </c>
      <c r="CF54" s="39" t="b">
        <v>0</v>
      </c>
      <c r="CG54" s="39" t="b">
        <v>0</v>
      </c>
      <c r="CH54" s="39" t="b">
        <v>0</v>
      </c>
      <c r="CI54" s="39" t="b">
        <v>0</v>
      </c>
      <c r="CJ54" s="39" t="b">
        <v>0</v>
      </c>
      <c r="CK54" s="39" t="b">
        <v>0</v>
      </c>
      <c r="CL54" s="39" t="b">
        <v>0</v>
      </c>
      <c r="CM54" s="39" t="b">
        <v>0</v>
      </c>
      <c r="CN54" s="39" t="s">
        <v>39</v>
      </c>
      <c r="CO54" s="57" t="e">
        <v>#N/A</v>
      </c>
      <c r="CP54" s="39" t="e">
        <v>#N/A</v>
      </c>
      <c r="CQ54" s="39" t="e">
        <v>#N/A</v>
      </c>
      <c r="CR54" s="72" t="e">
        <v>#N/A</v>
      </c>
      <c r="CS54" s="72" t="e">
        <v>#N/A</v>
      </c>
      <c r="CT54" s="72" t="e">
        <v>#N/A</v>
      </c>
      <c r="CU54" s="72" t="e">
        <v>#N/A</v>
      </c>
      <c r="CV54" s="72" t="e">
        <v>#N/A</v>
      </c>
      <c r="CW54" s="72" t="e">
        <v>#N/A</v>
      </c>
      <c r="CX54" s="39" t="b">
        <v>1</v>
      </c>
      <c r="CY54" s="39" t="b">
        <v>0</v>
      </c>
      <c r="CZ54" s="39" t="b">
        <v>1</v>
      </c>
      <c r="DA54" s="39" t="b">
        <v>0</v>
      </c>
      <c r="DB54" s="39" t="b">
        <v>1</v>
      </c>
      <c r="DC54" s="39" t="b">
        <v>0</v>
      </c>
      <c r="DD54" s="39" t="b">
        <v>0</v>
      </c>
      <c r="DE54" s="39" t="b">
        <v>0</v>
      </c>
      <c r="DF54" s="132" t="s">
        <v>1473</v>
      </c>
      <c r="DG54" s="72" t="e">
        <v>#N/A</v>
      </c>
      <c r="DH54" s="72" t="e">
        <v>#N/A</v>
      </c>
      <c r="DI54" s="72" t="e">
        <v>#N/A</v>
      </c>
      <c r="DJ54" s="72" t="e">
        <v>#N/A</v>
      </c>
      <c r="DK54" s="72" t="e">
        <v>#N/A</v>
      </c>
      <c r="DL54" s="39" t="s">
        <v>307</v>
      </c>
      <c r="DM54" s="39" t="b">
        <f t="shared" si="0"/>
        <v>0</v>
      </c>
      <c r="DN54" s="38" t="str">
        <f t="shared" si="1"/>
        <v>4801_Verk_Z 52_sport_5 M_100_XX_F</v>
      </c>
    </row>
    <row r="55" spans="1:118" ht="15.75" customHeight="1" x14ac:dyDescent="0.25">
      <c r="A55" s="37">
        <v>50</v>
      </c>
      <c r="C55" s="37">
        <v>9365</v>
      </c>
      <c r="D55" s="132" t="s">
        <v>288</v>
      </c>
      <c r="E55" s="57" t="s">
        <v>110</v>
      </c>
      <c r="F55" s="132" t="s">
        <v>287</v>
      </c>
      <c r="G55" s="132" t="s">
        <v>286</v>
      </c>
      <c r="H55" s="132">
        <v>92681</v>
      </c>
      <c r="I55" s="39" t="s">
        <v>114</v>
      </c>
      <c r="J55" s="132" t="s">
        <v>285</v>
      </c>
      <c r="K55" s="132" t="s">
        <v>284</v>
      </c>
      <c r="L55" s="132" t="s">
        <v>283</v>
      </c>
      <c r="M55" s="132" t="s">
        <v>282</v>
      </c>
      <c r="N55" s="132" t="s">
        <v>1474</v>
      </c>
      <c r="O55" s="132" t="s">
        <v>1475</v>
      </c>
      <c r="P55" s="132" t="s">
        <v>1476</v>
      </c>
      <c r="Q55" s="132" t="s">
        <v>1477</v>
      </c>
      <c r="R55" s="39" t="s">
        <v>118</v>
      </c>
      <c r="S55" s="39" t="s">
        <v>121</v>
      </c>
      <c r="T55" s="39" t="e">
        <v>#N/A</v>
      </c>
      <c r="U55" s="40" t="e">
        <v>#N/A</v>
      </c>
      <c r="V55" s="39" t="s">
        <v>128</v>
      </c>
      <c r="W55" s="39" t="s">
        <v>141</v>
      </c>
      <c r="X55" s="39" t="e">
        <v>#N/A</v>
      </c>
      <c r="Y55" s="39" t="s">
        <v>281</v>
      </c>
      <c r="Z55" s="39" t="s">
        <v>148</v>
      </c>
      <c r="AA55" s="39" t="s">
        <v>157</v>
      </c>
      <c r="AB55" s="132" t="e">
        <v>#N/A</v>
      </c>
      <c r="AC55" s="132" t="s">
        <v>1478</v>
      </c>
      <c r="AD55" s="132" t="s">
        <v>1479</v>
      </c>
      <c r="AE55" s="102" t="e">
        <v>#N/A</v>
      </c>
      <c r="AF55" s="102" t="e">
        <v>#N/A</v>
      </c>
      <c r="AG55" s="102" t="e">
        <v>#N/A</v>
      </c>
      <c r="AH55" s="41" t="s">
        <v>161</v>
      </c>
      <c r="AI55" s="39" t="s">
        <v>177</v>
      </c>
      <c r="AJ55" s="39" t="s">
        <v>183</v>
      </c>
      <c r="AK55" s="39">
        <v>136</v>
      </c>
      <c r="AL55" s="39" t="s">
        <v>187</v>
      </c>
      <c r="AM55" s="39">
        <v>5</v>
      </c>
      <c r="AN55" s="39" t="b">
        <v>1</v>
      </c>
      <c r="AO55" s="39" t="b">
        <v>0</v>
      </c>
      <c r="AP55" s="39" t="b">
        <v>0</v>
      </c>
      <c r="AQ55" s="39" t="b">
        <v>0</v>
      </c>
      <c r="AR55" s="39" t="b">
        <v>0</v>
      </c>
      <c r="AS55" s="39" t="b">
        <v>1</v>
      </c>
      <c r="AT55" s="39" t="b">
        <v>0</v>
      </c>
      <c r="AU55" s="39" t="b">
        <v>0</v>
      </c>
      <c r="AV55" s="39" t="b">
        <v>0</v>
      </c>
      <c r="AW55" s="39" t="b">
        <v>0</v>
      </c>
      <c r="AX55" s="39" t="e">
        <v>#N/A</v>
      </c>
      <c r="AY55" s="39" t="s">
        <v>196</v>
      </c>
      <c r="AZ55" s="37" t="e">
        <v>#N/A</v>
      </c>
      <c r="BA55" s="37" t="e">
        <v>#N/A</v>
      </c>
      <c r="BB55" s="37" t="e">
        <v>#N/A</v>
      </c>
      <c r="BC55" s="37" t="e">
        <v>#N/A</v>
      </c>
      <c r="BD55" s="37" t="e">
        <v>#N/A</v>
      </c>
      <c r="BE55" s="39" t="s">
        <v>202</v>
      </c>
      <c r="BF55" s="39" t="s">
        <v>280</v>
      </c>
      <c r="BG55" s="39" t="s">
        <v>279</v>
      </c>
      <c r="BH55" s="39" t="s">
        <v>278</v>
      </c>
      <c r="BI55" s="39" t="s">
        <v>201</v>
      </c>
      <c r="BJ55" s="37" t="e">
        <v>#N/A</v>
      </c>
      <c r="BK55" s="37" t="e">
        <v>#N/A</v>
      </c>
      <c r="BL55" s="37" t="e">
        <v>#N/A</v>
      </c>
      <c r="BM55" s="37" t="e">
        <v>#N/A</v>
      </c>
      <c r="BN55" s="37" t="e">
        <v>#N/A</v>
      </c>
      <c r="BO55" s="37" t="e">
        <v>#N/A</v>
      </c>
      <c r="BP55" s="37" t="e">
        <v>#N/A</v>
      </c>
      <c r="BQ55" s="39" t="s">
        <v>210</v>
      </c>
      <c r="BR55" s="37" t="e">
        <v>#N/A</v>
      </c>
      <c r="BS55" s="39" t="s">
        <v>208</v>
      </c>
      <c r="BT55" s="39" t="s">
        <v>33</v>
      </c>
      <c r="BU55" s="39" t="b">
        <v>1</v>
      </c>
      <c r="BV55" s="39" t="b">
        <v>1</v>
      </c>
      <c r="BW55" s="39" t="b">
        <v>0</v>
      </c>
      <c r="BX55" s="39" t="b">
        <v>1</v>
      </c>
      <c r="BY55" s="39" t="b">
        <v>1</v>
      </c>
      <c r="BZ55" s="39" t="b">
        <v>0</v>
      </c>
      <c r="CA55" s="39" t="b">
        <v>1</v>
      </c>
      <c r="CB55" s="39" t="b">
        <v>0</v>
      </c>
      <c r="CC55" s="39" t="b">
        <v>0</v>
      </c>
      <c r="CD55" s="39" t="e">
        <v>#N/A</v>
      </c>
      <c r="CE55" s="39" t="b">
        <v>0</v>
      </c>
      <c r="CF55" s="39" t="b">
        <v>0</v>
      </c>
      <c r="CG55" s="39" t="b">
        <v>0</v>
      </c>
      <c r="CH55" s="39" t="b">
        <v>0</v>
      </c>
      <c r="CI55" s="39" t="b">
        <v>0</v>
      </c>
      <c r="CJ55" s="39" t="b">
        <v>0</v>
      </c>
      <c r="CK55" s="39" t="b">
        <v>0</v>
      </c>
      <c r="CL55" s="39" t="b">
        <v>0</v>
      </c>
      <c r="CM55" s="39" t="b">
        <v>0</v>
      </c>
      <c r="CN55" s="39" t="s">
        <v>39</v>
      </c>
      <c r="CO55" s="57" t="e">
        <v>#N/A</v>
      </c>
      <c r="CP55" s="39" t="e">
        <v>#N/A</v>
      </c>
      <c r="CQ55" s="39" t="e">
        <v>#N/A</v>
      </c>
      <c r="CR55" s="37" t="e">
        <v>#N/A</v>
      </c>
      <c r="CS55" s="37" t="e">
        <v>#N/A</v>
      </c>
      <c r="CT55" s="37" t="e">
        <v>#N/A</v>
      </c>
      <c r="CU55" s="37" t="e">
        <v>#N/A</v>
      </c>
      <c r="CV55" s="37" t="e">
        <v>#N/A</v>
      </c>
      <c r="CW55" s="37" t="e">
        <v>#N/A</v>
      </c>
      <c r="CX55" s="39" t="b">
        <v>0</v>
      </c>
      <c r="CY55" s="39" t="b">
        <v>1</v>
      </c>
      <c r="CZ55" s="39" t="b">
        <v>1</v>
      </c>
      <c r="DA55" s="39" t="b">
        <v>0</v>
      </c>
      <c r="DB55" s="39" t="b">
        <v>1</v>
      </c>
      <c r="DC55" s="39" t="b">
        <v>1</v>
      </c>
      <c r="DD55" s="39" t="b">
        <v>1</v>
      </c>
      <c r="DE55" s="39" t="b">
        <v>0</v>
      </c>
      <c r="DF55" s="132" t="s">
        <v>1480</v>
      </c>
      <c r="DG55" s="39" t="s">
        <v>277</v>
      </c>
      <c r="DH55" s="37" t="e">
        <v>#N/A</v>
      </c>
      <c r="DI55" s="37" t="e">
        <v>#N/A</v>
      </c>
      <c r="DJ55" s="37" t="e">
        <v>#N/A</v>
      </c>
      <c r="DK55" s="39">
        <v>40689</v>
      </c>
      <c r="DL55" s="39" t="s">
        <v>276</v>
      </c>
      <c r="DM55" s="39" t="b">
        <f t="shared" si="0"/>
        <v>0</v>
      </c>
      <c r="DN55" s="38" t="str">
        <f t="shared" si="1"/>
        <v>9365_Indu_XXXX_ktion_5 M_100_bi_F</v>
      </c>
    </row>
    <row r="56" spans="1:118" ht="15.75" customHeight="1" x14ac:dyDescent="0.25">
      <c r="A56" s="37">
        <v>51</v>
      </c>
      <c r="C56" s="37">
        <v>1830</v>
      </c>
      <c r="D56" s="132" t="s">
        <v>759</v>
      </c>
      <c r="E56" s="57" t="s">
        <v>109</v>
      </c>
      <c r="F56" s="132" t="s">
        <v>758</v>
      </c>
      <c r="G56" s="132" t="s">
        <v>757</v>
      </c>
      <c r="H56" s="132">
        <v>92249</v>
      </c>
      <c r="I56" s="39" t="s">
        <v>114</v>
      </c>
      <c r="J56" s="132" t="s">
        <v>755</v>
      </c>
      <c r="K56" s="132" t="s">
        <v>756</v>
      </c>
      <c r="L56" s="132" t="s">
        <v>754</v>
      </c>
      <c r="M56" s="132" t="e">
        <v>#N/A</v>
      </c>
      <c r="N56" s="132" t="e">
        <v>#N/A</v>
      </c>
      <c r="O56" s="132" t="s">
        <v>1481</v>
      </c>
      <c r="P56" s="132" t="s">
        <v>755</v>
      </c>
      <c r="Q56" s="132" t="s">
        <v>754</v>
      </c>
      <c r="R56" s="39" t="s">
        <v>120</v>
      </c>
      <c r="S56" s="39" t="e">
        <v>#N/A</v>
      </c>
      <c r="T56" s="39" t="e">
        <v>#N/A</v>
      </c>
      <c r="U56" s="40" t="s">
        <v>137</v>
      </c>
      <c r="V56" s="39" t="e">
        <v>#N/A</v>
      </c>
      <c r="W56" s="39" t="e">
        <v>#N/A</v>
      </c>
      <c r="X56" s="39" t="e">
        <v>#N/A</v>
      </c>
      <c r="Y56" s="39" t="e">
        <v>#N/A</v>
      </c>
      <c r="Z56" s="39" t="s">
        <v>148</v>
      </c>
      <c r="AA56" s="39" t="s">
        <v>156</v>
      </c>
      <c r="AB56" s="132" t="e">
        <v>#N/A</v>
      </c>
      <c r="AC56" s="132" t="e">
        <v>#N/A</v>
      </c>
      <c r="AD56" s="102" t="e">
        <v>#N/A</v>
      </c>
      <c r="AE56" s="102" t="e">
        <v>#N/A</v>
      </c>
      <c r="AF56" s="102" t="e">
        <v>#N/A</v>
      </c>
      <c r="AG56" s="102" t="e">
        <v>#N/A</v>
      </c>
      <c r="AH56" s="41" t="s">
        <v>163</v>
      </c>
      <c r="AI56" s="39" t="s">
        <v>174</v>
      </c>
      <c r="AJ56" s="57" t="s">
        <v>179</v>
      </c>
      <c r="AK56" s="39" t="e">
        <v>#N/A</v>
      </c>
      <c r="AL56" s="39" t="s">
        <v>192</v>
      </c>
      <c r="AM56" s="39" t="e">
        <v>#N/A</v>
      </c>
      <c r="AN56" s="39" t="b">
        <v>0</v>
      </c>
      <c r="AO56" s="39" t="b">
        <v>0</v>
      </c>
      <c r="AP56" s="39" t="b">
        <v>0</v>
      </c>
      <c r="AQ56" s="39" t="b">
        <v>0</v>
      </c>
      <c r="AR56" s="39" t="b">
        <v>0</v>
      </c>
      <c r="AS56" s="39" t="b">
        <v>0</v>
      </c>
      <c r="AT56" s="39" t="b">
        <v>1</v>
      </c>
      <c r="AU56" s="39" t="b">
        <v>0</v>
      </c>
      <c r="AV56" s="39" t="b">
        <v>0</v>
      </c>
      <c r="AW56" s="39" t="b">
        <v>0</v>
      </c>
      <c r="AX56" s="39" t="s">
        <v>195</v>
      </c>
      <c r="AY56" s="39" t="s">
        <v>196</v>
      </c>
      <c r="AZ56" s="39" t="s">
        <v>199</v>
      </c>
      <c r="BA56" s="37" t="e">
        <v>#N/A</v>
      </c>
      <c r="BB56" s="37" t="e">
        <v>#N/A</v>
      </c>
      <c r="BC56" s="37" t="e">
        <v>#N/A</v>
      </c>
      <c r="BD56" s="72" t="e">
        <v>#N/A</v>
      </c>
      <c r="BE56" s="39" t="s">
        <v>753</v>
      </c>
      <c r="BF56" s="72" t="e">
        <v>#N/A</v>
      </c>
      <c r="BG56" s="72" t="e">
        <v>#N/A</v>
      </c>
      <c r="BH56" s="72" t="e">
        <v>#N/A</v>
      </c>
      <c r="BI56" s="39" t="e">
        <v>#N/A</v>
      </c>
      <c r="BJ56" s="72" t="e">
        <v>#N/A</v>
      </c>
      <c r="BK56" s="72" t="e">
        <v>#N/A</v>
      </c>
      <c r="BL56" s="72" t="e">
        <v>#N/A</v>
      </c>
      <c r="BM56" s="37" t="e">
        <v>#N/A</v>
      </c>
      <c r="BN56" s="72" t="e">
        <v>#N/A</v>
      </c>
      <c r="BO56" s="72" t="e">
        <v>#N/A</v>
      </c>
      <c r="BP56" s="72" t="e">
        <v>#N/A</v>
      </c>
      <c r="BQ56" s="39" t="s">
        <v>210</v>
      </c>
      <c r="BR56" s="72" t="e">
        <v>#N/A</v>
      </c>
      <c r="BS56" s="72" t="e">
        <v>#N/A</v>
      </c>
      <c r="BT56" s="39" t="s">
        <v>39</v>
      </c>
      <c r="BU56" s="39" t="b">
        <v>0</v>
      </c>
      <c r="BV56" s="39" t="b">
        <v>0</v>
      </c>
      <c r="BW56" s="39" t="b">
        <v>0</v>
      </c>
      <c r="BX56" s="39" t="b">
        <v>0</v>
      </c>
      <c r="BY56" s="39" t="b">
        <v>0</v>
      </c>
      <c r="BZ56" s="39" t="b">
        <v>0</v>
      </c>
      <c r="CA56" s="39" t="b">
        <v>0</v>
      </c>
      <c r="CB56" s="39" t="b">
        <v>0</v>
      </c>
      <c r="CC56" s="39" t="b">
        <v>1</v>
      </c>
      <c r="CD56" s="39" t="e">
        <v>#N/A</v>
      </c>
      <c r="CE56" s="39" t="b">
        <v>0</v>
      </c>
      <c r="CF56" s="39" t="b">
        <v>0</v>
      </c>
      <c r="CG56" s="39" t="b">
        <v>0</v>
      </c>
      <c r="CH56" s="39" t="b">
        <v>0</v>
      </c>
      <c r="CI56" s="39" t="b">
        <v>0</v>
      </c>
      <c r="CJ56" s="39" t="b">
        <v>0</v>
      </c>
      <c r="CK56" s="39" t="b">
        <v>0</v>
      </c>
      <c r="CL56" s="39" t="b">
        <v>0</v>
      </c>
      <c r="CM56" s="39" t="b">
        <v>1</v>
      </c>
      <c r="CN56" s="39" t="s">
        <v>39</v>
      </c>
      <c r="CO56" s="57" t="e">
        <v>#N/A</v>
      </c>
      <c r="CP56" s="39" t="e">
        <v>#N/A</v>
      </c>
      <c r="CQ56" s="39" t="e">
        <v>#N/A</v>
      </c>
      <c r="CR56" s="72" t="e">
        <v>#N/A</v>
      </c>
      <c r="CS56" s="72" t="e">
        <v>#N/A</v>
      </c>
      <c r="CT56" s="72" t="e">
        <v>#N/A</v>
      </c>
      <c r="CU56" s="72" t="e">
        <v>#N/A</v>
      </c>
      <c r="CV56" s="72" t="e">
        <v>#N/A</v>
      </c>
      <c r="CW56" s="72" t="e">
        <v>#N/A</v>
      </c>
      <c r="CX56" s="39" t="b">
        <v>1</v>
      </c>
      <c r="CY56" s="39" t="b">
        <v>1</v>
      </c>
      <c r="CZ56" s="39" t="b">
        <v>0</v>
      </c>
      <c r="DA56" s="39" t="b">
        <v>0</v>
      </c>
      <c r="DB56" s="39" t="b">
        <v>1</v>
      </c>
      <c r="DC56" s="39" t="b">
        <v>0</v>
      </c>
      <c r="DD56" s="39" t="b">
        <v>0</v>
      </c>
      <c r="DE56" s="39" t="b">
        <v>0</v>
      </c>
      <c r="DF56" s="132" t="s">
        <v>1482</v>
      </c>
      <c r="DG56" s="39" t="s">
        <v>752</v>
      </c>
      <c r="DH56" s="72" t="e">
        <v>#N/A</v>
      </c>
      <c r="DI56" s="72" t="e">
        <v>#N/A</v>
      </c>
      <c r="DJ56" s="72" t="e">
        <v>#N/A</v>
      </c>
      <c r="DK56" s="72" t="e">
        <v>#N/A</v>
      </c>
      <c r="DL56" s="39" t="s">
        <v>307</v>
      </c>
      <c r="DM56" s="39" t="b">
        <f t="shared" si="0"/>
        <v>1</v>
      </c>
      <c r="DN56" s="38" t="str">
        <f t="shared" si="1"/>
        <v>1830_Verk_Z 52_sport_200_4 -_75_W</v>
      </c>
    </row>
    <row r="57" spans="1:118" ht="15.75" customHeight="1" x14ac:dyDescent="0.25">
      <c r="A57" s="37">
        <v>52</v>
      </c>
      <c r="C57" s="37">
        <v>4488</v>
      </c>
      <c r="D57" s="102" t="s">
        <v>587</v>
      </c>
      <c r="E57" s="58" t="s">
        <v>109</v>
      </c>
      <c r="F57" s="102" t="s">
        <v>586</v>
      </c>
      <c r="G57" s="102" t="s">
        <v>263</v>
      </c>
      <c r="H57" s="102">
        <v>92637</v>
      </c>
      <c r="I57" s="37" t="s">
        <v>114</v>
      </c>
      <c r="J57" s="102" t="s">
        <v>585</v>
      </c>
      <c r="K57" s="102" t="s">
        <v>584</v>
      </c>
      <c r="L57" s="102" t="s">
        <v>583</v>
      </c>
      <c r="M57" s="102" t="s">
        <v>582</v>
      </c>
      <c r="N57" s="102" t="s">
        <v>1483</v>
      </c>
      <c r="O57" s="102" t="s">
        <v>1484</v>
      </c>
      <c r="P57" s="132" t="e">
        <v>#N/A</v>
      </c>
      <c r="Q57" s="132" t="e">
        <v>#N/A</v>
      </c>
      <c r="R57" s="37" t="s">
        <v>118</v>
      </c>
      <c r="S57" s="37" t="s">
        <v>119</v>
      </c>
      <c r="T57" s="37" t="s">
        <v>120</v>
      </c>
      <c r="U57" s="41" t="s">
        <v>128</v>
      </c>
      <c r="V57" s="37" t="s">
        <v>909</v>
      </c>
      <c r="W57" s="37" t="s">
        <v>142</v>
      </c>
      <c r="X57" s="39" t="e">
        <v>#N/A</v>
      </c>
      <c r="Y57" s="37" t="s">
        <v>581</v>
      </c>
      <c r="Z57" s="37" t="s">
        <v>148</v>
      </c>
      <c r="AA57" s="37" t="s">
        <v>158</v>
      </c>
      <c r="AB57" s="132" t="e">
        <v>#N/A</v>
      </c>
      <c r="AC57" s="132" t="e">
        <v>#N/A</v>
      </c>
      <c r="AD57" s="102" t="e">
        <v>#N/A</v>
      </c>
      <c r="AE57" s="102" t="e">
        <v>#N/A</v>
      </c>
      <c r="AF57" s="102" t="e">
        <v>#N/A</v>
      </c>
      <c r="AG57" s="102" t="e">
        <v>#N/A</v>
      </c>
      <c r="AH57" s="41" t="s">
        <v>161</v>
      </c>
      <c r="AI57" s="37" t="s">
        <v>177</v>
      </c>
      <c r="AJ57" s="37" t="e">
        <v>#N/A</v>
      </c>
      <c r="AK57" s="37" t="s">
        <v>580</v>
      </c>
      <c r="AL57" s="37" t="s">
        <v>187</v>
      </c>
      <c r="AM57" s="39" t="e">
        <v>#N/A</v>
      </c>
      <c r="AN57" s="37" t="b">
        <v>1</v>
      </c>
      <c r="AO57" s="37" t="b">
        <v>1</v>
      </c>
      <c r="AP57" s="37" t="b">
        <v>0</v>
      </c>
      <c r="AQ57" s="37" t="b">
        <v>0</v>
      </c>
      <c r="AR57" s="37" t="b">
        <v>0</v>
      </c>
      <c r="AS57" s="37" t="b">
        <v>0</v>
      </c>
      <c r="AT57" s="37" t="b">
        <v>0</v>
      </c>
      <c r="AU57" s="37" t="b">
        <v>0</v>
      </c>
      <c r="AV57" s="37" t="b">
        <v>0</v>
      </c>
      <c r="AW57" s="37" t="b">
        <v>0</v>
      </c>
      <c r="AX57" s="37" t="s">
        <v>33</v>
      </c>
      <c r="AY57" s="37" t="s">
        <v>199</v>
      </c>
      <c r="AZ57" s="37" t="s">
        <v>199</v>
      </c>
      <c r="BA57" s="37" t="s">
        <v>199</v>
      </c>
      <c r="BB57" s="37" t="s">
        <v>199</v>
      </c>
      <c r="BC57" s="37" t="s">
        <v>199</v>
      </c>
      <c r="BD57" s="37" t="s">
        <v>199</v>
      </c>
      <c r="BE57" s="37" t="s">
        <v>202</v>
      </c>
      <c r="BF57" s="37" t="e">
        <v>#N/A</v>
      </c>
      <c r="BG57" s="37" t="e">
        <v>#N/A</v>
      </c>
      <c r="BH57" s="37" t="e">
        <v>#N/A</v>
      </c>
      <c r="BI57" s="39" t="e">
        <v>#N/A</v>
      </c>
      <c r="BJ57" s="37" t="e">
        <v>#N/A</v>
      </c>
      <c r="BK57" s="37" t="e">
        <v>#N/A</v>
      </c>
      <c r="BL57" s="37" t="e">
        <v>#N/A</v>
      </c>
      <c r="BM57" s="37" t="e">
        <v>#N/A</v>
      </c>
      <c r="BN57" s="37" t="e">
        <v>#N/A</v>
      </c>
      <c r="BO57" s="37" t="e">
        <v>#N/A</v>
      </c>
      <c r="BP57" s="37" t="e">
        <v>#N/A</v>
      </c>
      <c r="BQ57" s="37" t="s">
        <v>210</v>
      </c>
      <c r="BR57" s="37" t="s">
        <v>104</v>
      </c>
      <c r="BS57" s="37" t="s">
        <v>209</v>
      </c>
      <c r="BT57" s="37" t="s">
        <v>33</v>
      </c>
      <c r="BU57" s="37" t="b">
        <v>1</v>
      </c>
      <c r="BV57" s="37" t="b">
        <v>0</v>
      </c>
      <c r="BW57" s="37" t="b">
        <v>0</v>
      </c>
      <c r="BX57" s="37" t="b">
        <v>0</v>
      </c>
      <c r="BY57" s="37" t="b">
        <v>1</v>
      </c>
      <c r="BZ57" s="37" t="b">
        <v>0</v>
      </c>
      <c r="CA57" s="37" t="b">
        <v>1</v>
      </c>
      <c r="CB57" s="37" t="b">
        <v>0</v>
      </c>
      <c r="CC57" s="37" t="b">
        <v>0</v>
      </c>
      <c r="CD57" s="39" t="e">
        <v>#N/A</v>
      </c>
      <c r="CE57" s="37" t="b">
        <v>0</v>
      </c>
      <c r="CF57" s="37" t="b">
        <v>0</v>
      </c>
      <c r="CG57" s="37" t="b">
        <v>0</v>
      </c>
      <c r="CH57" s="37" t="b">
        <v>0</v>
      </c>
      <c r="CI57" s="37" t="b">
        <v>0</v>
      </c>
      <c r="CJ57" s="37" t="b">
        <v>0</v>
      </c>
      <c r="CK57" s="37" t="b">
        <v>0</v>
      </c>
      <c r="CL57" s="37" t="b">
        <v>0</v>
      </c>
      <c r="CM57" s="37" t="b">
        <v>0</v>
      </c>
      <c r="CN57" s="37" t="s">
        <v>211</v>
      </c>
      <c r="CO57" s="58" t="s">
        <v>213</v>
      </c>
      <c r="CP57" s="37" t="e">
        <v>#N/A</v>
      </c>
      <c r="CQ57" s="39" t="e">
        <v>#N/A</v>
      </c>
      <c r="CR57" s="37" t="s">
        <v>215</v>
      </c>
      <c r="CS57" s="37" t="e">
        <v>#N/A</v>
      </c>
      <c r="CT57" s="37" t="e">
        <v>#N/A</v>
      </c>
      <c r="CU57" s="37" t="e">
        <v>#N/A</v>
      </c>
      <c r="CV57" s="37" t="e">
        <v>#N/A</v>
      </c>
      <c r="CW57" s="37" t="s">
        <v>39</v>
      </c>
      <c r="CX57" s="37" t="b">
        <v>1</v>
      </c>
      <c r="CY57" s="37" t="b">
        <v>0</v>
      </c>
      <c r="CZ57" s="37" t="b">
        <v>0</v>
      </c>
      <c r="DA57" s="37" t="b">
        <v>0</v>
      </c>
      <c r="DB57" s="37" t="b">
        <v>0</v>
      </c>
      <c r="DC57" s="37" t="b">
        <v>0</v>
      </c>
      <c r="DD57" s="37" t="b">
        <v>0</v>
      </c>
      <c r="DE57" s="37" t="b">
        <v>0</v>
      </c>
      <c r="DF57" s="132" t="e">
        <v>#N/A</v>
      </c>
      <c r="DG57" s="37" t="s">
        <v>579</v>
      </c>
      <c r="DH57" s="37">
        <v>40674</v>
      </c>
      <c r="DI57" s="37">
        <v>40679</v>
      </c>
      <c r="DJ57" s="37">
        <v>40674</v>
      </c>
      <c r="DK57" s="37">
        <v>40679</v>
      </c>
      <c r="DL57" s="37" t="s">
        <v>246</v>
      </c>
      <c r="DM57" s="39" t="b">
        <f t="shared" si="0"/>
        <v>0</v>
      </c>
      <c r="DN57" s="38" t="str">
        <f t="shared" si="1"/>
        <v>4488_Indu_Z 25_ktion_5 M_XXX_bi_F</v>
      </c>
    </row>
    <row r="58" spans="1:118" ht="15.75" customHeight="1" x14ac:dyDescent="0.25">
      <c r="A58" s="37">
        <v>53</v>
      </c>
      <c r="C58" s="37">
        <v>9056</v>
      </c>
      <c r="D58" s="132" t="s">
        <v>315</v>
      </c>
      <c r="E58" s="57" t="s">
        <v>105</v>
      </c>
      <c r="F58" s="132" t="s">
        <v>314</v>
      </c>
      <c r="G58" s="132" t="s">
        <v>313</v>
      </c>
      <c r="H58" s="132">
        <v>92714</v>
      </c>
      <c r="I58" s="39" t="s">
        <v>114</v>
      </c>
      <c r="J58" s="132" t="s">
        <v>311</v>
      </c>
      <c r="K58" s="132" t="s">
        <v>312</v>
      </c>
      <c r="L58" s="132" t="s">
        <v>310</v>
      </c>
      <c r="M58" s="132" t="e">
        <v>#N/A</v>
      </c>
      <c r="N58" s="132" t="e">
        <v>#N/A</v>
      </c>
      <c r="O58" s="132" t="s">
        <v>1485</v>
      </c>
      <c r="P58" s="132" t="s">
        <v>311</v>
      </c>
      <c r="Q58" s="132" t="s">
        <v>310</v>
      </c>
      <c r="R58" s="39" t="s">
        <v>120</v>
      </c>
      <c r="S58" s="39" t="e">
        <v>#N/A</v>
      </c>
      <c r="T58" s="39" t="e">
        <v>#N/A</v>
      </c>
      <c r="U58" s="40" t="s">
        <v>137</v>
      </c>
      <c r="V58" s="39" t="e">
        <v>#N/A</v>
      </c>
      <c r="W58" s="39" t="e">
        <v>#N/A</v>
      </c>
      <c r="X58" s="39" t="e">
        <v>#N/A</v>
      </c>
      <c r="Y58" s="39" t="s">
        <v>309</v>
      </c>
      <c r="Z58" s="39" t="s">
        <v>148</v>
      </c>
      <c r="AA58" s="39" t="s">
        <v>156</v>
      </c>
      <c r="AB58" s="132" t="e">
        <v>#N/A</v>
      </c>
      <c r="AC58" s="132" t="e">
        <v>#N/A</v>
      </c>
      <c r="AD58" s="102" t="e">
        <v>#N/A</v>
      </c>
      <c r="AE58" s="102" t="e">
        <v>#N/A</v>
      </c>
      <c r="AF58" s="102" t="e">
        <v>#N/A</v>
      </c>
      <c r="AG58" s="102" t="e">
        <v>#N/A</v>
      </c>
      <c r="AH58" s="41" t="s">
        <v>163</v>
      </c>
      <c r="AI58" s="39" t="s">
        <v>176</v>
      </c>
      <c r="AJ58" s="57" t="s">
        <v>180</v>
      </c>
      <c r="AK58" s="39" t="e">
        <v>#N/A</v>
      </c>
      <c r="AL58" s="39" t="s">
        <v>191</v>
      </c>
      <c r="AM58" s="39" t="e">
        <v>#N/A</v>
      </c>
      <c r="AN58" s="39" t="b">
        <v>0</v>
      </c>
      <c r="AO58" s="39" t="b">
        <v>0</v>
      </c>
      <c r="AP58" s="39" t="b">
        <v>0</v>
      </c>
      <c r="AQ58" s="39" t="b">
        <v>0</v>
      </c>
      <c r="AR58" s="39" t="b">
        <v>0</v>
      </c>
      <c r="AS58" s="39" t="b">
        <v>0</v>
      </c>
      <c r="AT58" s="39" t="b">
        <v>1</v>
      </c>
      <c r="AU58" s="39" t="b">
        <v>1</v>
      </c>
      <c r="AV58" s="39" t="b">
        <v>0</v>
      </c>
      <c r="AW58" s="39" t="b">
        <v>0</v>
      </c>
      <c r="AX58" s="39" t="s">
        <v>195</v>
      </c>
      <c r="AY58" s="39" t="s">
        <v>196</v>
      </c>
      <c r="AZ58" s="39" t="s">
        <v>199</v>
      </c>
      <c r="BA58" s="39" t="s">
        <v>200</v>
      </c>
      <c r="BB58" s="39" t="s">
        <v>199</v>
      </c>
      <c r="BC58" s="39" t="s">
        <v>200</v>
      </c>
      <c r="BD58" s="39" t="s">
        <v>200</v>
      </c>
      <c r="BE58" s="37" t="e">
        <v>#N/A</v>
      </c>
      <c r="BF58" s="72" t="e">
        <v>#N/A</v>
      </c>
      <c r="BG58" s="72" t="e">
        <v>#N/A</v>
      </c>
      <c r="BH58" s="72" t="e">
        <v>#N/A</v>
      </c>
      <c r="BI58" s="39" t="e">
        <v>#N/A</v>
      </c>
      <c r="BJ58" s="72" t="e">
        <v>#N/A</v>
      </c>
      <c r="BK58" s="72" t="e">
        <v>#N/A</v>
      </c>
      <c r="BL58" s="72" t="e">
        <v>#N/A</v>
      </c>
      <c r="BM58" s="37" t="e">
        <v>#N/A</v>
      </c>
      <c r="BN58" s="72" t="e">
        <v>#N/A</v>
      </c>
      <c r="BO58" s="72" t="e">
        <v>#N/A</v>
      </c>
      <c r="BP58" s="72" t="e">
        <v>#N/A</v>
      </c>
      <c r="BQ58" s="39" t="s">
        <v>210</v>
      </c>
      <c r="BR58" s="72" t="e">
        <v>#N/A</v>
      </c>
      <c r="BS58" s="72" t="e">
        <v>#N/A</v>
      </c>
      <c r="BT58" s="39" t="s">
        <v>39</v>
      </c>
      <c r="BU58" s="39" t="b">
        <v>0</v>
      </c>
      <c r="BV58" s="39" t="b">
        <v>0</v>
      </c>
      <c r="BW58" s="39" t="b">
        <v>0</v>
      </c>
      <c r="BX58" s="39" t="b">
        <v>0</v>
      </c>
      <c r="BY58" s="39" t="b">
        <v>0</v>
      </c>
      <c r="BZ58" s="39" t="b">
        <v>0</v>
      </c>
      <c r="CA58" s="39" t="b">
        <v>0</v>
      </c>
      <c r="CB58" s="39" t="b">
        <v>0</v>
      </c>
      <c r="CC58" s="39" t="b">
        <v>1</v>
      </c>
      <c r="CD58" s="39" t="s">
        <v>308</v>
      </c>
      <c r="CE58" s="39" t="b">
        <v>0</v>
      </c>
      <c r="CF58" s="39" t="b">
        <v>0</v>
      </c>
      <c r="CG58" s="39" t="b">
        <v>0</v>
      </c>
      <c r="CH58" s="39" t="b">
        <v>0</v>
      </c>
      <c r="CI58" s="39" t="b">
        <v>0</v>
      </c>
      <c r="CJ58" s="39" t="b">
        <v>0</v>
      </c>
      <c r="CK58" s="39" t="b">
        <v>0</v>
      </c>
      <c r="CL58" s="39" t="b">
        <v>0</v>
      </c>
      <c r="CM58" s="39" t="b">
        <v>0</v>
      </c>
      <c r="CN58" s="39" t="s">
        <v>211</v>
      </c>
      <c r="CO58" s="57" t="s">
        <v>212</v>
      </c>
      <c r="CP58" s="39">
        <v>300000</v>
      </c>
      <c r="CQ58" s="39" t="s">
        <v>163</v>
      </c>
      <c r="CR58" s="72" t="e">
        <v>#N/A</v>
      </c>
      <c r="CS58" s="72" t="e">
        <v>#N/A</v>
      </c>
      <c r="CT58" s="72" t="e">
        <v>#N/A</v>
      </c>
      <c r="CU58" s="72" t="e">
        <v>#N/A</v>
      </c>
      <c r="CV58" s="72" t="e">
        <v>#N/A</v>
      </c>
      <c r="CW58" s="39" t="s">
        <v>39</v>
      </c>
      <c r="CX58" s="39" t="b">
        <v>1</v>
      </c>
      <c r="CY58" s="39" t="b">
        <v>1</v>
      </c>
      <c r="CZ58" s="39" t="b">
        <v>1</v>
      </c>
      <c r="DA58" s="39" t="b">
        <v>0</v>
      </c>
      <c r="DB58" s="39" t="b">
        <v>0</v>
      </c>
      <c r="DC58" s="39" t="b">
        <v>0</v>
      </c>
      <c r="DD58" s="39" t="b">
        <v>0</v>
      </c>
      <c r="DE58" s="39" t="b">
        <v>0</v>
      </c>
      <c r="DF58" s="132" t="s">
        <v>1486</v>
      </c>
      <c r="DG58" s="72" t="e">
        <v>#N/A</v>
      </c>
      <c r="DH58" s="72" t="e">
        <v>#N/A</v>
      </c>
      <c r="DI58" s="72" t="e">
        <v>#N/A</v>
      </c>
      <c r="DJ58" s="72" t="e">
        <v>#N/A</v>
      </c>
      <c r="DK58" s="72" t="e">
        <v>#N/A</v>
      </c>
      <c r="DL58" s="39" t="s">
        <v>307</v>
      </c>
      <c r="DM58" s="39" t="b">
        <f t="shared" si="0"/>
        <v>0</v>
      </c>
      <c r="DN58" s="38" t="str">
        <f t="shared" si="1"/>
        <v>9056_Verk_Z 52_sport_1 M_10 _50_F</v>
      </c>
    </row>
    <row r="59" spans="1:118" ht="15.75" customHeight="1" x14ac:dyDescent="0.25">
      <c r="A59" s="37">
        <v>54</v>
      </c>
      <c r="C59" s="37">
        <v>3355</v>
      </c>
      <c r="D59" s="102" t="s">
        <v>658</v>
      </c>
      <c r="E59" s="58" t="s">
        <v>109</v>
      </c>
      <c r="F59" s="102" t="s">
        <v>657</v>
      </c>
      <c r="G59" s="102" t="s">
        <v>437</v>
      </c>
      <c r="H59" s="102">
        <v>92253</v>
      </c>
      <c r="I59" s="37" t="s">
        <v>114</v>
      </c>
      <c r="J59" s="102" t="s">
        <v>656</v>
      </c>
      <c r="K59" s="102" t="s">
        <v>655</v>
      </c>
      <c r="L59" s="102" t="s">
        <v>654</v>
      </c>
      <c r="M59" s="102" t="s">
        <v>653</v>
      </c>
      <c r="N59" s="102" t="s">
        <v>1487</v>
      </c>
      <c r="O59" s="102" t="s">
        <v>1488</v>
      </c>
      <c r="P59" s="102" t="s">
        <v>1489</v>
      </c>
      <c r="Q59" s="102" t="s">
        <v>1490</v>
      </c>
      <c r="R59" s="37" t="s">
        <v>118</v>
      </c>
      <c r="S59" s="39" t="e">
        <v>#N/A</v>
      </c>
      <c r="T59" s="39" t="e">
        <v>#N/A</v>
      </c>
      <c r="U59" s="41" t="e">
        <v>#N/A</v>
      </c>
      <c r="V59" s="37" t="e">
        <v>#N/A</v>
      </c>
      <c r="W59" s="39" t="e">
        <v>#N/A</v>
      </c>
      <c r="X59" s="39" t="e">
        <v>#N/A</v>
      </c>
      <c r="Y59" s="37" t="s">
        <v>652</v>
      </c>
      <c r="Z59" s="37" t="s">
        <v>148</v>
      </c>
      <c r="AA59" s="37" t="s">
        <v>157</v>
      </c>
      <c r="AB59" s="132" t="e">
        <v>#N/A</v>
      </c>
      <c r="AC59" s="132" t="e">
        <v>#N/A</v>
      </c>
      <c r="AD59" s="102" t="e">
        <v>#N/A</v>
      </c>
      <c r="AE59" s="102" t="e">
        <v>#N/A</v>
      </c>
      <c r="AF59" s="102" t="e">
        <v>#N/A</v>
      </c>
      <c r="AG59" s="102" t="e">
        <v>#N/A</v>
      </c>
      <c r="AH59" s="41" t="s">
        <v>161</v>
      </c>
      <c r="AI59" s="37" t="s">
        <v>177</v>
      </c>
      <c r="AJ59" s="37" t="s">
        <v>183</v>
      </c>
      <c r="AK59" s="39" t="e">
        <v>#N/A</v>
      </c>
      <c r="AL59" s="37" t="s">
        <v>187</v>
      </c>
      <c r="AM59" s="39" t="e">
        <v>#N/A</v>
      </c>
      <c r="AN59" s="37" t="b">
        <v>0</v>
      </c>
      <c r="AO59" s="37" t="b">
        <v>0</v>
      </c>
      <c r="AP59" s="37" t="b">
        <v>0</v>
      </c>
      <c r="AQ59" s="37" t="b">
        <v>0</v>
      </c>
      <c r="AR59" s="37" t="b">
        <v>0</v>
      </c>
      <c r="AS59" s="37" t="b">
        <v>0</v>
      </c>
      <c r="AT59" s="37" t="b">
        <v>1</v>
      </c>
      <c r="AU59" s="37" t="b">
        <v>1</v>
      </c>
      <c r="AV59" s="37" t="b">
        <v>0</v>
      </c>
      <c r="AW59" s="37" t="b">
        <v>0</v>
      </c>
      <c r="AX59" s="37" t="s">
        <v>194</v>
      </c>
      <c r="AY59" s="37" t="s">
        <v>199</v>
      </c>
      <c r="AZ59" s="37" t="s">
        <v>199</v>
      </c>
      <c r="BA59" s="37" t="s">
        <v>199</v>
      </c>
      <c r="BB59" s="37" t="s">
        <v>196</v>
      </c>
      <c r="BC59" s="37" t="s">
        <v>196</v>
      </c>
      <c r="BD59" s="37" t="s">
        <v>199</v>
      </c>
      <c r="BE59" s="37" t="s">
        <v>249</v>
      </c>
      <c r="BF59" s="37" t="e">
        <v>#N/A</v>
      </c>
      <c r="BG59" s="37" t="e">
        <v>#N/A</v>
      </c>
      <c r="BH59" s="37" t="e">
        <v>#N/A</v>
      </c>
      <c r="BI59" s="37" t="s">
        <v>202</v>
      </c>
      <c r="BJ59" s="37" t="e">
        <v>#N/A</v>
      </c>
      <c r="BK59" s="37" t="e">
        <v>#N/A</v>
      </c>
      <c r="BL59" s="37" t="e">
        <v>#N/A</v>
      </c>
      <c r="BM59" s="37" t="s">
        <v>207</v>
      </c>
      <c r="BN59" s="37" t="e">
        <v>#N/A</v>
      </c>
      <c r="BO59" s="37" t="e">
        <v>#N/A</v>
      </c>
      <c r="BP59" s="37" t="e">
        <v>#N/A</v>
      </c>
      <c r="BQ59" s="37" t="s">
        <v>209</v>
      </c>
      <c r="BR59" s="37" t="s">
        <v>104</v>
      </c>
      <c r="BS59" s="37" t="s">
        <v>209</v>
      </c>
      <c r="BT59" s="37" t="s">
        <v>33</v>
      </c>
      <c r="BU59" s="37" t="b">
        <v>0</v>
      </c>
      <c r="BV59" s="37" t="b">
        <v>0</v>
      </c>
      <c r="BW59" s="37" t="b">
        <v>0</v>
      </c>
      <c r="BX59" s="37" t="b">
        <v>0</v>
      </c>
      <c r="BY59" s="37" t="b">
        <v>0</v>
      </c>
      <c r="BZ59" s="37" t="b">
        <v>0</v>
      </c>
      <c r="CA59" s="37" t="b">
        <v>0</v>
      </c>
      <c r="CB59" s="37" t="b">
        <v>0</v>
      </c>
      <c r="CC59" s="37" t="b">
        <v>1</v>
      </c>
      <c r="CD59" s="37" t="s">
        <v>651</v>
      </c>
      <c r="CE59" s="37" t="b">
        <v>1</v>
      </c>
      <c r="CF59" s="37" t="b">
        <v>1</v>
      </c>
      <c r="CG59" s="37" t="b">
        <v>0</v>
      </c>
      <c r="CH59" s="37" t="b">
        <v>0</v>
      </c>
      <c r="CI59" s="37" t="b">
        <v>0</v>
      </c>
      <c r="CJ59" s="37" t="b">
        <v>0</v>
      </c>
      <c r="CK59" s="37" t="b">
        <v>1</v>
      </c>
      <c r="CL59" s="37" t="b">
        <v>1</v>
      </c>
      <c r="CM59" s="37" t="b">
        <v>0</v>
      </c>
      <c r="CN59" s="37" t="s">
        <v>211</v>
      </c>
      <c r="CO59" s="58" t="s">
        <v>212</v>
      </c>
      <c r="CP59" s="37" t="s">
        <v>248</v>
      </c>
      <c r="CQ59" s="39" t="e">
        <v>#N/A</v>
      </c>
      <c r="CR59" s="37" t="s">
        <v>215</v>
      </c>
      <c r="CS59" s="37" t="e">
        <v>#N/A</v>
      </c>
      <c r="CT59" s="37" t="e">
        <v>#N/A</v>
      </c>
      <c r="CU59" s="37" t="e">
        <v>#N/A</v>
      </c>
      <c r="CV59" s="37" t="e">
        <v>#N/A</v>
      </c>
      <c r="CW59" s="37" t="s">
        <v>39</v>
      </c>
      <c r="CX59" s="37" t="b">
        <v>1</v>
      </c>
      <c r="CY59" s="37" t="b">
        <v>1</v>
      </c>
      <c r="CZ59" s="37" t="b">
        <v>1</v>
      </c>
      <c r="DA59" s="37" t="b">
        <v>0</v>
      </c>
      <c r="DB59" s="37" t="b">
        <v>1</v>
      </c>
      <c r="DC59" s="37" t="b">
        <v>1</v>
      </c>
      <c r="DD59" s="37" t="b">
        <v>1</v>
      </c>
      <c r="DE59" s="37" t="b">
        <v>1</v>
      </c>
      <c r="DF59" s="102" t="s">
        <v>1491</v>
      </c>
      <c r="DG59" s="37" t="s">
        <v>247</v>
      </c>
      <c r="DH59" s="37">
        <v>40672</v>
      </c>
      <c r="DI59" s="37" t="e">
        <v>#N/A</v>
      </c>
      <c r="DJ59" s="37">
        <v>40688</v>
      </c>
      <c r="DK59" s="37">
        <v>40688</v>
      </c>
      <c r="DL59" s="37" t="s">
        <v>246</v>
      </c>
      <c r="DM59" s="39" t="b">
        <f t="shared" si="0"/>
        <v>1</v>
      </c>
      <c r="DN59" s="38" t="str">
        <f t="shared" si="1"/>
        <v>3355_Indu_XXXX_ktion_5 M_100_bi_W</v>
      </c>
    </row>
    <row r="60" spans="1:118" ht="15.75" customHeight="1" x14ac:dyDescent="0.25">
      <c r="A60" s="37">
        <v>55</v>
      </c>
      <c r="C60" s="37">
        <v>1065</v>
      </c>
      <c r="D60" s="132" t="s">
        <v>840</v>
      </c>
      <c r="E60" s="57" t="s">
        <v>111</v>
      </c>
      <c r="F60" s="132" t="s">
        <v>839</v>
      </c>
      <c r="G60" s="132" t="s">
        <v>838</v>
      </c>
      <c r="H60" s="132">
        <v>95478</v>
      </c>
      <c r="I60" s="39" t="s">
        <v>114</v>
      </c>
      <c r="J60" s="132" t="s">
        <v>837</v>
      </c>
      <c r="K60" s="132" t="e">
        <v>#N/A</v>
      </c>
      <c r="L60" s="132" t="e">
        <v>#N/A</v>
      </c>
      <c r="M60" s="132" t="s">
        <v>836</v>
      </c>
      <c r="N60" s="132" t="s">
        <v>1492</v>
      </c>
      <c r="O60" s="132" t="s">
        <v>1493</v>
      </c>
      <c r="P60" s="132" t="s">
        <v>1494</v>
      </c>
      <c r="Q60" s="132" t="s">
        <v>1495</v>
      </c>
      <c r="R60" s="39" t="s">
        <v>118</v>
      </c>
      <c r="S60" s="39" t="e">
        <v>#N/A</v>
      </c>
      <c r="T60" s="39" t="e">
        <v>#N/A</v>
      </c>
      <c r="U60" s="40" t="s">
        <v>129</v>
      </c>
      <c r="V60" s="39" t="s">
        <v>128</v>
      </c>
      <c r="W60" s="39" t="e">
        <v>#N/A</v>
      </c>
      <c r="X60" s="39" t="e">
        <v>#N/A</v>
      </c>
      <c r="Y60" s="39" t="s">
        <v>835</v>
      </c>
      <c r="Z60" s="39" t="s">
        <v>151</v>
      </c>
      <c r="AA60" s="39" t="s">
        <v>158</v>
      </c>
      <c r="AB60" s="132" t="s">
        <v>1496</v>
      </c>
      <c r="AC60" s="132" t="s">
        <v>1497</v>
      </c>
      <c r="AD60" s="132" t="s">
        <v>1498</v>
      </c>
      <c r="AE60" s="102" t="e">
        <v>#N/A</v>
      </c>
      <c r="AF60" s="102" t="e">
        <v>#N/A</v>
      </c>
      <c r="AG60" s="102" t="e">
        <v>#N/A</v>
      </c>
      <c r="AH60" s="41" t="e">
        <v>#N/A</v>
      </c>
      <c r="AI60" s="39" t="s">
        <v>178</v>
      </c>
      <c r="AJ60" s="39" t="s">
        <v>186</v>
      </c>
      <c r="AK60" s="39" t="e">
        <v>#N/A</v>
      </c>
      <c r="AL60" s="39" t="s">
        <v>187</v>
      </c>
      <c r="AM60" s="39" t="e">
        <v>#N/A</v>
      </c>
      <c r="AN60" s="39" t="b">
        <v>1</v>
      </c>
      <c r="AO60" s="39" t="b">
        <v>1</v>
      </c>
      <c r="AP60" s="39" t="b">
        <v>1</v>
      </c>
      <c r="AQ60" s="39" t="b">
        <v>0</v>
      </c>
      <c r="AR60" s="39" t="b">
        <v>1</v>
      </c>
      <c r="AS60" s="39" t="b">
        <v>1</v>
      </c>
      <c r="AT60" s="39" t="b">
        <v>0</v>
      </c>
      <c r="AU60" s="39" t="b">
        <v>0</v>
      </c>
      <c r="AV60" s="39" t="b">
        <v>0</v>
      </c>
      <c r="AW60" s="39" t="b">
        <v>0</v>
      </c>
      <c r="AX60" s="39" t="s">
        <v>193</v>
      </c>
      <c r="AY60" s="39" t="s">
        <v>196</v>
      </c>
      <c r="AZ60" s="39" t="s">
        <v>196</v>
      </c>
      <c r="BA60" s="39" t="s">
        <v>196</v>
      </c>
      <c r="BB60" s="39" t="s">
        <v>199</v>
      </c>
      <c r="BC60" s="39" t="s">
        <v>199</v>
      </c>
      <c r="BD60" s="39" t="s">
        <v>199</v>
      </c>
      <c r="BE60" s="39" t="s">
        <v>202</v>
      </c>
      <c r="BF60" s="37" t="e">
        <v>#N/A</v>
      </c>
      <c r="BG60" s="37" t="e">
        <v>#N/A</v>
      </c>
      <c r="BH60" s="39" t="s">
        <v>33</v>
      </c>
      <c r="BI60" s="39" t="s">
        <v>205</v>
      </c>
      <c r="BJ60" s="37" t="e">
        <v>#N/A</v>
      </c>
      <c r="BK60" s="39" t="s">
        <v>834</v>
      </c>
      <c r="BL60" s="39" t="s">
        <v>33</v>
      </c>
      <c r="BM60" s="39" t="s">
        <v>206</v>
      </c>
      <c r="BN60" s="37" t="e">
        <v>#N/A</v>
      </c>
      <c r="BO60" s="37" t="e">
        <v>#N/A</v>
      </c>
      <c r="BP60" s="39" t="s">
        <v>33</v>
      </c>
      <c r="BQ60" s="39" t="s">
        <v>209</v>
      </c>
      <c r="BR60" s="39" t="s">
        <v>104</v>
      </c>
      <c r="BS60" s="39" t="s">
        <v>208</v>
      </c>
      <c r="BT60" s="39" t="s">
        <v>33</v>
      </c>
      <c r="BU60" s="39" t="b">
        <v>0</v>
      </c>
      <c r="BV60" s="39" t="b">
        <v>0</v>
      </c>
      <c r="BW60" s="39" t="b">
        <v>0</v>
      </c>
      <c r="BX60" s="39" t="b">
        <v>0</v>
      </c>
      <c r="BY60" s="39" t="b">
        <v>0</v>
      </c>
      <c r="BZ60" s="39" t="b">
        <v>0</v>
      </c>
      <c r="CA60" s="39" t="b">
        <v>0</v>
      </c>
      <c r="CB60" s="39" t="b">
        <v>0</v>
      </c>
      <c r="CC60" s="39" t="b">
        <v>1</v>
      </c>
      <c r="CD60" s="39" t="s">
        <v>833</v>
      </c>
      <c r="CE60" s="39" t="b">
        <v>1</v>
      </c>
      <c r="CF60" s="39" t="b">
        <v>1</v>
      </c>
      <c r="CG60" s="39" t="b">
        <v>0</v>
      </c>
      <c r="CH60" s="39" t="b">
        <v>1</v>
      </c>
      <c r="CI60" s="39" t="b">
        <v>1</v>
      </c>
      <c r="CJ60" s="39" t="b">
        <v>0</v>
      </c>
      <c r="CK60" s="39" t="b">
        <v>0</v>
      </c>
      <c r="CL60" s="39" t="b">
        <v>0</v>
      </c>
      <c r="CM60" s="39" t="b">
        <v>0</v>
      </c>
      <c r="CN60" s="39" t="s">
        <v>39</v>
      </c>
      <c r="CO60" s="57" t="e">
        <v>#N/A</v>
      </c>
      <c r="CP60" s="39" t="e">
        <v>#N/A</v>
      </c>
      <c r="CQ60" s="39" t="e">
        <v>#N/A</v>
      </c>
      <c r="CR60" s="37" t="e">
        <v>#N/A</v>
      </c>
      <c r="CS60" s="37" t="e">
        <v>#N/A</v>
      </c>
      <c r="CT60" s="37" t="e">
        <v>#N/A</v>
      </c>
      <c r="CU60" s="37" t="e">
        <v>#N/A</v>
      </c>
      <c r="CV60" s="37" t="e">
        <v>#N/A</v>
      </c>
      <c r="CW60" s="37" t="e">
        <v>#N/A</v>
      </c>
      <c r="CX60" s="39" t="b">
        <v>1</v>
      </c>
      <c r="CY60" s="39" t="b">
        <v>1</v>
      </c>
      <c r="CZ60" s="39" t="b">
        <v>1</v>
      </c>
      <c r="DA60" s="39" t="b">
        <v>0</v>
      </c>
      <c r="DB60" s="39" t="b">
        <v>1</v>
      </c>
      <c r="DC60" s="39" t="b">
        <v>1</v>
      </c>
      <c r="DD60" s="39" t="b">
        <v>1</v>
      </c>
      <c r="DE60" s="39" t="b">
        <v>0</v>
      </c>
      <c r="DF60" s="132" t="s">
        <v>1499</v>
      </c>
      <c r="DG60" s="39" t="s">
        <v>800</v>
      </c>
      <c r="DH60" s="39">
        <v>40686</v>
      </c>
      <c r="DI60" s="39">
        <v>40686</v>
      </c>
      <c r="DJ60" s="39">
        <v>40694</v>
      </c>
      <c r="DK60" s="39">
        <v>40711</v>
      </c>
      <c r="DL60" s="37" t="s">
        <v>348</v>
      </c>
      <c r="DM60" s="39" t="b">
        <f t="shared" si="0"/>
        <v>1</v>
      </c>
      <c r="DN60" s="38" t="str">
        <f t="shared" si="1"/>
        <v>1065_Indu_Z 26_XXXXX_übe_ab _bi_W</v>
      </c>
    </row>
    <row r="61" spans="1:118" ht="15.75" customHeight="1" x14ac:dyDescent="0.25">
      <c r="A61" s="37">
        <v>56</v>
      </c>
      <c r="C61" s="37">
        <v>5284</v>
      </c>
      <c r="D61" s="132" t="s">
        <v>530</v>
      </c>
      <c r="E61" s="57" t="s">
        <v>105</v>
      </c>
      <c r="F61" s="132" t="s">
        <v>529</v>
      </c>
      <c r="G61" s="132" t="s">
        <v>496</v>
      </c>
      <c r="H61" s="132">
        <v>92507</v>
      </c>
      <c r="I61" s="39" t="s">
        <v>114</v>
      </c>
      <c r="J61" s="132" t="s">
        <v>528</v>
      </c>
      <c r="K61" s="132" t="s">
        <v>527</v>
      </c>
      <c r="L61" s="132" t="s">
        <v>526</v>
      </c>
      <c r="M61" s="132" t="e">
        <v>#N/A</v>
      </c>
      <c r="N61" s="132" t="s">
        <v>1500</v>
      </c>
      <c r="O61" s="132" t="s">
        <v>1500</v>
      </c>
      <c r="P61" s="132" t="s">
        <v>1501</v>
      </c>
      <c r="Q61" s="132" t="s">
        <v>1502</v>
      </c>
      <c r="R61" s="39" t="s">
        <v>119</v>
      </c>
      <c r="S61" s="39" t="s">
        <v>120</v>
      </c>
      <c r="T61" s="39" t="e">
        <v>#N/A</v>
      </c>
      <c r="U61" s="40" t="s">
        <v>137</v>
      </c>
      <c r="V61" s="39" t="s">
        <v>145</v>
      </c>
      <c r="W61" s="39" t="e">
        <v>#N/A</v>
      </c>
      <c r="X61" s="39" t="e">
        <v>#N/A</v>
      </c>
      <c r="Y61" s="37" t="e">
        <v>#N/A</v>
      </c>
      <c r="Z61" s="39" t="s">
        <v>149</v>
      </c>
      <c r="AA61" s="39" t="s">
        <v>156</v>
      </c>
      <c r="AB61" s="132" t="e">
        <v>#N/A</v>
      </c>
      <c r="AC61" s="132" t="e">
        <v>#N/A</v>
      </c>
      <c r="AD61" s="102" t="e">
        <v>#N/A</v>
      </c>
      <c r="AE61" s="102" t="e">
        <v>#N/A</v>
      </c>
      <c r="AF61" s="102" t="e">
        <v>#N/A</v>
      </c>
      <c r="AG61" s="102" t="e">
        <v>#N/A</v>
      </c>
      <c r="AH61" s="41" t="s">
        <v>163</v>
      </c>
      <c r="AI61" s="39" t="s">
        <v>176</v>
      </c>
      <c r="AJ61" s="57" t="s">
        <v>180</v>
      </c>
      <c r="AK61" s="39">
        <v>15</v>
      </c>
      <c r="AL61" s="39" t="s">
        <v>192</v>
      </c>
      <c r="AM61" s="39">
        <v>15</v>
      </c>
      <c r="AN61" s="39" t="b">
        <v>0</v>
      </c>
      <c r="AO61" s="39" t="b">
        <v>0</v>
      </c>
      <c r="AP61" s="39" t="b">
        <v>0</v>
      </c>
      <c r="AQ61" s="39" t="b">
        <v>0</v>
      </c>
      <c r="AR61" s="39" t="b">
        <v>0</v>
      </c>
      <c r="AS61" s="39" t="b">
        <v>0</v>
      </c>
      <c r="AT61" s="39" t="b">
        <v>1</v>
      </c>
      <c r="AU61" s="39" t="b">
        <v>1</v>
      </c>
      <c r="AV61" s="39" t="b">
        <v>0</v>
      </c>
      <c r="AW61" s="39" t="b">
        <v>0</v>
      </c>
      <c r="AX61" s="39" t="s">
        <v>194</v>
      </c>
      <c r="AY61" s="39" t="s">
        <v>196</v>
      </c>
      <c r="AZ61" s="39" t="s">
        <v>199</v>
      </c>
      <c r="BA61" s="39" t="s">
        <v>199</v>
      </c>
      <c r="BB61" s="39" t="s">
        <v>199</v>
      </c>
      <c r="BC61" s="39" t="s">
        <v>199</v>
      </c>
      <c r="BD61" s="39" t="s">
        <v>199</v>
      </c>
      <c r="BE61" s="39" t="s">
        <v>202</v>
      </c>
      <c r="BF61" s="37" t="e">
        <v>#N/A</v>
      </c>
      <c r="BG61" s="37" t="e">
        <v>#N/A</v>
      </c>
      <c r="BH61" s="39" t="s">
        <v>33</v>
      </c>
      <c r="BI61" s="39" t="e">
        <v>#N/A</v>
      </c>
      <c r="BJ61" s="37" t="e">
        <v>#N/A</v>
      </c>
      <c r="BK61" s="37" t="e">
        <v>#N/A</v>
      </c>
      <c r="BL61" s="37" t="e">
        <v>#N/A</v>
      </c>
      <c r="BM61" s="37" t="e">
        <v>#N/A</v>
      </c>
      <c r="BN61" s="37" t="e">
        <v>#N/A</v>
      </c>
      <c r="BO61" s="37" t="e">
        <v>#N/A</v>
      </c>
      <c r="BP61" s="37" t="e">
        <v>#N/A</v>
      </c>
      <c r="BQ61" s="39" t="s">
        <v>210</v>
      </c>
      <c r="BR61" s="37" t="e">
        <v>#N/A</v>
      </c>
      <c r="BS61" s="37" t="e">
        <v>#N/A</v>
      </c>
      <c r="BT61" s="39" t="s">
        <v>39</v>
      </c>
      <c r="BU61" s="39" t="b">
        <v>0</v>
      </c>
      <c r="BV61" s="39" t="b">
        <v>0</v>
      </c>
      <c r="BW61" s="39" t="b">
        <v>0</v>
      </c>
      <c r="BX61" s="39" t="b">
        <v>0</v>
      </c>
      <c r="BY61" s="39" t="b">
        <v>0</v>
      </c>
      <c r="BZ61" s="39" t="b">
        <v>0</v>
      </c>
      <c r="CA61" s="39" t="b">
        <v>0</v>
      </c>
      <c r="CB61" s="39" t="b">
        <v>0</v>
      </c>
      <c r="CC61" s="39" t="b">
        <v>1</v>
      </c>
      <c r="CD61" s="39" t="s">
        <v>525</v>
      </c>
      <c r="CE61" s="39" t="b">
        <v>1</v>
      </c>
      <c r="CF61" s="39" t="b">
        <v>0</v>
      </c>
      <c r="CG61" s="39" t="b">
        <v>1</v>
      </c>
      <c r="CH61" s="39" t="b">
        <v>0</v>
      </c>
      <c r="CI61" s="39" t="b">
        <v>0</v>
      </c>
      <c r="CJ61" s="39" t="b">
        <v>0</v>
      </c>
      <c r="CK61" s="39" t="b">
        <v>1</v>
      </c>
      <c r="CL61" s="39" t="b">
        <v>0</v>
      </c>
      <c r="CM61" s="39" t="b">
        <v>0</v>
      </c>
      <c r="CN61" s="39" t="s">
        <v>211</v>
      </c>
      <c r="CO61" s="57" t="s">
        <v>213</v>
      </c>
      <c r="CP61" s="37" t="e">
        <v>#N/A</v>
      </c>
      <c r="CQ61" s="39" t="s">
        <v>524</v>
      </c>
      <c r="CR61" s="37" t="e">
        <v>#N/A</v>
      </c>
      <c r="CS61" s="37" t="e">
        <v>#N/A</v>
      </c>
      <c r="CT61" s="37" t="e">
        <v>#N/A</v>
      </c>
      <c r="CU61" s="37" t="e">
        <v>#N/A</v>
      </c>
      <c r="CV61" s="37" t="e">
        <v>#N/A</v>
      </c>
      <c r="CW61" s="39" t="s">
        <v>39</v>
      </c>
      <c r="CX61" s="39" t="b">
        <v>1</v>
      </c>
      <c r="CY61" s="39" t="b">
        <v>1</v>
      </c>
      <c r="CZ61" s="39" t="b">
        <v>1</v>
      </c>
      <c r="DA61" s="39" t="b">
        <v>0</v>
      </c>
      <c r="DB61" s="39" t="b">
        <v>1</v>
      </c>
      <c r="DC61" s="39" t="b">
        <v>1</v>
      </c>
      <c r="DD61" s="39" t="b">
        <v>1</v>
      </c>
      <c r="DE61" s="39" t="b">
        <v>1</v>
      </c>
      <c r="DF61" s="132" t="s">
        <v>1503</v>
      </c>
      <c r="DG61" s="39" t="s">
        <v>414</v>
      </c>
      <c r="DH61" s="39" t="s">
        <v>523</v>
      </c>
      <c r="DI61" s="39" t="s">
        <v>522</v>
      </c>
      <c r="DJ61" s="39">
        <v>40679</v>
      </c>
      <c r="DK61" s="39" t="s">
        <v>522</v>
      </c>
      <c r="DL61" s="39" t="s">
        <v>307</v>
      </c>
      <c r="DM61" s="39" t="b">
        <f t="shared" si="0"/>
        <v>1</v>
      </c>
      <c r="DN61" s="38" t="str">
        <f t="shared" si="1"/>
        <v>5284_Dien_Z 52_sport_1 M_10 _75_W</v>
      </c>
    </row>
    <row r="62" spans="1:118" ht="15.75" customHeight="1" x14ac:dyDescent="0.25">
      <c r="A62" s="37">
        <v>57</v>
      </c>
      <c r="C62" s="37">
        <v>5905</v>
      </c>
      <c r="D62" s="132" t="s">
        <v>498</v>
      </c>
      <c r="E62" s="57" t="s">
        <v>109</v>
      </c>
      <c r="F62" s="132" t="s">
        <v>497</v>
      </c>
      <c r="G62" s="132" t="s">
        <v>496</v>
      </c>
      <c r="H62" s="132">
        <v>92507</v>
      </c>
      <c r="I62" s="39" t="s">
        <v>114</v>
      </c>
      <c r="J62" s="132" t="s">
        <v>495</v>
      </c>
      <c r="K62" s="132" t="s">
        <v>494</v>
      </c>
      <c r="L62" s="132" t="s">
        <v>493</v>
      </c>
      <c r="M62" s="132" t="s">
        <v>492</v>
      </c>
      <c r="N62" s="132" t="s">
        <v>1504</v>
      </c>
      <c r="O62" s="132" t="s">
        <v>1505</v>
      </c>
      <c r="P62" s="132" t="s">
        <v>1506</v>
      </c>
      <c r="Q62" s="132" t="s">
        <v>1507</v>
      </c>
      <c r="R62" s="39" t="s">
        <v>120</v>
      </c>
      <c r="S62" s="39" t="e">
        <v>#N/A</v>
      </c>
      <c r="T62" s="39" t="e">
        <v>#N/A</v>
      </c>
      <c r="U62" s="40" t="e">
        <v>#N/A</v>
      </c>
      <c r="V62" s="39" t="e">
        <v>#N/A</v>
      </c>
      <c r="W62" s="39" t="e">
        <v>#N/A</v>
      </c>
      <c r="X62" s="39" t="e">
        <v>#N/A</v>
      </c>
      <c r="Y62" s="37" t="e">
        <v>#N/A</v>
      </c>
      <c r="Z62" s="39" t="s">
        <v>148</v>
      </c>
      <c r="AA62" s="39" t="s">
        <v>156</v>
      </c>
      <c r="AB62" s="132" t="e">
        <v>#N/A</v>
      </c>
      <c r="AC62" s="132" t="e">
        <v>#N/A</v>
      </c>
      <c r="AD62" s="102" t="e">
        <v>#N/A</v>
      </c>
      <c r="AE62" s="102" t="e">
        <v>#N/A</v>
      </c>
      <c r="AF62" s="102" t="e">
        <v>#N/A</v>
      </c>
      <c r="AG62" s="102" t="e">
        <v>#N/A</v>
      </c>
      <c r="AH62" s="41" t="s">
        <v>163</v>
      </c>
      <c r="AI62" s="39" t="s">
        <v>176</v>
      </c>
      <c r="AJ62" s="57" t="s">
        <v>180</v>
      </c>
      <c r="AK62" s="39" t="e">
        <v>#N/A</v>
      </c>
      <c r="AL62" s="39" t="s">
        <v>192</v>
      </c>
      <c r="AM62" s="39" t="e">
        <v>#N/A</v>
      </c>
      <c r="AN62" s="39" t="b">
        <v>1</v>
      </c>
      <c r="AO62" s="39" t="b">
        <v>1</v>
      </c>
      <c r="AP62" s="39" t="b">
        <v>0</v>
      </c>
      <c r="AQ62" s="39" t="b">
        <v>0</v>
      </c>
      <c r="AR62" s="39" t="b">
        <v>0</v>
      </c>
      <c r="AS62" s="39" t="b">
        <v>0</v>
      </c>
      <c r="AT62" s="39" t="b">
        <v>0</v>
      </c>
      <c r="AU62" s="39" t="b">
        <v>0</v>
      </c>
      <c r="AV62" s="39" t="b">
        <v>0</v>
      </c>
      <c r="AW62" s="39" t="b">
        <v>0</v>
      </c>
      <c r="AX62" s="39" t="s">
        <v>193</v>
      </c>
      <c r="AY62" s="39" t="s">
        <v>196</v>
      </c>
      <c r="AZ62" s="39" t="s">
        <v>199</v>
      </c>
      <c r="BA62" s="39" t="s">
        <v>199</v>
      </c>
      <c r="BB62" s="39" t="s">
        <v>199</v>
      </c>
      <c r="BC62" s="39" t="s">
        <v>199</v>
      </c>
      <c r="BD62" s="39" t="s">
        <v>199</v>
      </c>
      <c r="BE62" s="39" t="s">
        <v>202</v>
      </c>
      <c r="BF62" s="39">
        <v>2000</v>
      </c>
      <c r="BG62" s="39" t="s">
        <v>491</v>
      </c>
      <c r="BH62" s="39" t="s">
        <v>33</v>
      </c>
      <c r="BI62" s="39" t="e">
        <v>#N/A</v>
      </c>
      <c r="BJ62" s="72" t="e">
        <v>#N/A</v>
      </c>
      <c r="BK62" s="72" t="e">
        <v>#N/A</v>
      </c>
      <c r="BL62" s="72" t="e">
        <v>#N/A</v>
      </c>
      <c r="BM62" s="37" t="e">
        <v>#N/A</v>
      </c>
      <c r="BN62" s="72" t="e">
        <v>#N/A</v>
      </c>
      <c r="BO62" s="72" t="e">
        <v>#N/A</v>
      </c>
      <c r="BP62" s="72" t="e">
        <v>#N/A</v>
      </c>
      <c r="BQ62" s="39" t="s">
        <v>210</v>
      </c>
      <c r="BR62" s="72" t="e">
        <v>#N/A</v>
      </c>
      <c r="BS62" s="72" t="e">
        <v>#N/A</v>
      </c>
      <c r="BT62" s="39" t="s">
        <v>33</v>
      </c>
      <c r="BU62" s="39" t="b">
        <v>0</v>
      </c>
      <c r="BV62" s="39" t="b">
        <v>0</v>
      </c>
      <c r="BW62" s="39" t="b">
        <v>0</v>
      </c>
      <c r="BX62" s="39" t="b">
        <v>0</v>
      </c>
      <c r="BY62" s="39" t="b">
        <v>0</v>
      </c>
      <c r="BZ62" s="39" t="b">
        <v>0</v>
      </c>
      <c r="CA62" s="39" t="b">
        <v>0</v>
      </c>
      <c r="CB62" s="39" t="b">
        <v>0</v>
      </c>
      <c r="CC62" s="39" t="b">
        <v>1</v>
      </c>
      <c r="CD62" s="39" t="s">
        <v>490</v>
      </c>
      <c r="CE62" s="39" t="b">
        <v>0</v>
      </c>
      <c r="CF62" s="39" t="b">
        <v>0</v>
      </c>
      <c r="CG62" s="39" t="b">
        <v>0</v>
      </c>
      <c r="CH62" s="39" t="b">
        <v>0</v>
      </c>
      <c r="CI62" s="39" t="b">
        <v>0</v>
      </c>
      <c r="CJ62" s="39" t="b">
        <v>0</v>
      </c>
      <c r="CK62" s="39" t="b">
        <v>1</v>
      </c>
      <c r="CL62" s="39" t="b">
        <v>0</v>
      </c>
      <c r="CM62" s="39" t="b">
        <v>0</v>
      </c>
      <c r="CN62" s="39" t="s">
        <v>211</v>
      </c>
      <c r="CO62" s="57" t="s">
        <v>213</v>
      </c>
      <c r="CP62" s="39" t="s">
        <v>489</v>
      </c>
      <c r="CQ62" s="39" t="s">
        <v>488</v>
      </c>
      <c r="CR62" s="72" t="e">
        <v>#N/A</v>
      </c>
      <c r="CS62" s="72" t="e">
        <v>#N/A</v>
      </c>
      <c r="CT62" s="72" t="e">
        <v>#N/A</v>
      </c>
      <c r="CU62" s="72" t="e">
        <v>#N/A</v>
      </c>
      <c r="CV62" s="72" t="e">
        <v>#N/A</v>
      </c>
      <c r="CW62" s="39" t="s">
        <v>39</v>
      </c>
      <c r="CX62" s="39" t="b">
        <v>1</v>
      </c>
      <c r="CY62" s="39" t="b">
        <v>1</v>
      </c>
      <c r="CZ62" s="39" t="b">
        <v>1</v>
      </c>
      <c r="DA62" s="39" t="b">
        <v>0</v>
      </c>
      <c r="DB62" s="39" t="b">
        <v>1</v>
      </c>
      <c r="DC62" s="39" t="b">
        <v>1</v>
      </c>
      <c r="DD62" s="39" t="b">
        <v>1</v>
      </c>
      <c r="DE62" s="39" t="b">
        <v>1</v>
      </c>
      <c r="DF62" s="132" t="s">
        <v>1508</v>
      </c>
      <c r="DG62" s="72" t="e">
        <v>#N/A</v>
      </c>
      <c r="DH62" s="72" t="e">
        <v>#N/A</v>
      </c>
      <c r="DI62" s="72" t="e">
        <v>#N/A</v>
      </c>
      <c r="DJ62" s="72" t="e">
        <v>#N/A</v>
      </c>
      <c r="DK62" s="72" t="e">
        <v>#N/A</v>
      </c>
      <c r="DL62" s="39" t="s">
        <v>307</v>
      </c>
      <c r="DM62" s="39" t="b">
        <f t="shared" si="0"/>
        <v>1</v>
      </c>
      <c r="DN62" s="38" t="str">
        <f t="shared" si="1"/>
        <v>5905_Verk_XXXX_sport_1 M_10 _75_W</v>
      </c>
    </row>
    <row r="63" spans="1:118" ht="15.75" customHeight="1" x14ac:dyDescent="0.25">
      <c r="A63" s="37">
        <v>58</v>
      </c>
      <c r="C63" s="37">
        <v>5360</v>
      </c>
      <c r="D63" s="132" t="s">
        <v>506</v>
      </c>
      <c r="E63" s="57" t="s">
        <v>109</v>
      </c>
      <c r="F63" s="132" t="s">
        <v>505</v>
      </c>
      <c r="G63" s="132" t="s">
        <v>504</v>
      </c>
      <c r="H63" s="132">
        <v>92289</v>
      </c>
      <c r="I63" s="39" t="s">
        <v>114</v>
      </c>
      <c r="J63" s="132" t="s">
        <v>500</v>
      </c>
      <c r="K63" s="132" t="s">
        <v>503</v>
      </c>
      <c r="L63" s="132" t="s">
        <v>502</v>
      </c>
      <c r="M63" s="132" t="s">
        <v>501</v>
      </c>
      <c r="N63" s="132" t="s">
        <v>1509</v>
      </c>
      <c r="O63" s="132" t="s">
        <v>1510</v>
      </c>
      <c r="P63" s="132" t="s">
        <v>500</v>
      </c>
      <c r="Q63" s="132" t="s">
        <v>1511</v>
      </c>
      <c r="R63" s="39" t="s">
        <v>119</v>
      </c>
      <c r="S63" s="39" t="s">
        <v>120</v>
      </c>
      <c r="T63" s="39" t="s">
        <v>124</v>
      </c>
      <c r="U63" s="40" t="s">
        <v>137</v>
      </c>
      <c r="V63" s="39" t="s">
        <v>136</v>
      </c>
      <c r="W63" s="39" t="s">
        <v>138</v>
      </c>
      <c r="X63" s="39" t="e">
        <v>#N/A</v>
      </c>
      <c r="Y63" s="37" t="e">
        <v>#N/A</v>
      </c>
      <c r="Z63" s="39" t="s">
        <v>149</v>
      </c>
      <c r="AA63" s="39" t="s">
        <v>157</v>
      </c>
      <c r="AB63" s="132" t="e">
        <v>#N/A</v>
      </c>
      <c r="AC63" s="132" t="e">
        <v>#N/A</v>
      </c>
      <c r="AD63" s="102" t="e">
        <v>#N/A</v>
      </c>
      <c r="AE63" s="102" t="e">
        <v>#N/A</v>
      </c>
      <c r="AF63" s="102" t="e">
        <v>#N/A</v>
      </c>
      <c r="AG63" s="102" t="e">
        <v>#N/A</v>
      </c>
      <c r="AH63" s="41" t="s">
        <v>163</v>
      </c>
      <c r="AI63" s="39" t="s">
        <v>176</v>
      </c>
      <c r="AJ63" s="39" t="s">
        <v>181</v>
      </c>
      <c r="AK63" s="39" t="e">
        <v>#N/A</v>
      </c>
      <c r="AL63" s="39" t="s">
        <v>190</v>
      </c>
      <c r="AM63" s="39" t="e">
        <v>#N/A</v>
      </c>
      <c r="AN63" s="39" t="b">
        <v>1</v>
      </c>
      <c r="AO63" s="39" t="b">
        <v>1</v>
      </c>
      <c r="AP63" s="39" t="b">
        <v>1</v>
      </c>
      <c r="AQ63" s="39" t="b">
        <v>0</v>
      </c>
      <c r="AR63" s="39" t="b">
        <v>1</v>
      </c>
      <c r="AS63" s="39" t="b">
        <v>0</v>
      </c>
      <c r="AT63" s="39" t="b">
        <v>0</v>
      </c>
      <c r="AU63" s="39" t="b">
        <v>0</v>
      </c>
      <c r="AV63" s="39" t="b">
        <v>0</v>
      </c>
      <c r="AW63" s="39" t="b">
        <v>0</v>
      </c>
      <c r="AX63" s="39" t="s">
        <v>194</v>
      </c>
      <c r="AY63" s="39" t="s">
        <v>196</v>
      </c>
      <c r="AZ63" s="37" t="e">
        <v>#N/A</v>
      </c>
      <c r="BA63" s="39" t="s">
        <v>196</v>
      </c>
      <c r="BB63" s="37" t="e">
        <v>#N/A</v>
      </c>
      <c r="BC63" s="39" t="s">
        <v>196</v>
      </c>
      <c r="BD63" s="37" t="e">
        <v>#N/A</v>
      </c>
      <c r="BE63" s="39" t="s">
        <v>202</v>
      </c>
      <c r="BF63" s="37" t="e">
        <v>#N/A</v>
      </c>
      <c r="BG63" s="37" t="e">
        <v>#N/A</v>
      </c>
      <c r="BH63" s="37" t="e">
        <v>#N/A</v>
      </c>
      <c r="BI63" s="39" t="e">
        <v>#N/A</v>
      </c>
      <c r="BJ63" s="37" t="e">
        <v>#N/A</v>
      </c>
      <c r="BK63" s="37" t="e">
        <v>#N/A</v>
      </c>
      <c r="BL63" s="37" t="e">
        <v>#N/A</v>
      </c>
      <c r="BM63" s="37" t="e">
        <v>#N/A</v>
      </c>
      <c r="BN63" s="37" t="e">
        <v>#N/A</v>
      </c>
      <c r="BO63" s="37" t="e">
        <v>#N/A</v>
      </c>
      <c r="BP63" s="37" t="e">
        <v>#N/A</v>
      </c>
      <c r="BQ63" s="39" t="s">
        <v>209</v>
      </c>
      <c r="BR63" s="37" t="e">
        <v>#N/A</v>
      </c>
      <c r="BS63" s="39" t="s">
        <v>208</v>
      </c>
      <c r="BT63" s="39" t="s">
        <v>33</v>
      </c>
      <c r="BU63" s="39" t="b">
        <v>0</v>
      </c>
      <c r="BV63" s="39" t="b">
        <v>0</v>
      </c>
      <c r="BW63" s="39" t="b">
        <v>0</v>
      </c>
      <c r="BX63" s="39" t="b">
        <v>0</v>
      </c>
      <c r="BY63" s="39" t="b">
        <v>0</v>
      </c>
      <c r="BZ63" s="39" t="b">
        <v>0</v>
      </c>
      <c r="CA63" s="39" t="b">
        <v>0</v>
      </c>
      <c r="CB63" s="39" t="b">
        <v>0</v>
      </c>
      <c r="CC63" s="39" t="b">
        <v>1</v>
      </c>
      <c r="CD63" s="39" t="s">
        <v>499</v>
      </c>
      <c r="CE63" s="39" t="b">
        <v>0</v>
      </c>
      <c r="CF63" s="39" t="b">
        <v>0</v>
      </c>
      <c r="CG63" s="39" t="b">
        <v>0</v>
      </c>
      <c r="CH63" s="39" t="b">
        <v>0</v>
      </c>
      <c r="CI63" s="39" t="b">
        <v>0</v>
      </c>
      <c r="CJ63" s="39" t="b">
        <v>0</v>
      </c>
      <c r="CK63" s="39" t="b">
        <v>0</v>
      </c>
      <c r="CL63" s="39" t="b">
        <v>0</v>
      </c>
      <c r="CM63" s="39" t="b">
        <v>0</v>
      </c>
      <c r="CN63" s="39" t="s">
        <v>33</v>
      </c>
      <c r="CO63" s="57" t="e">
        <v>#N/A</v>
      </c>
      <c r="CP63" s="39" t="e">
        <v>#N/A</v>
      </c>
      <c r="CQ63" s="39" t="e">
        <v>#N/A</v>
      </c>
      <c r="CR63" s="39" t="s">
        <v>215</v>
      </c>
      <c r="CS63" s="37" t="e">
        <v>#N/A</v>
      </c>
      <c r="CT63" s="37" t="e">
        <v>#N/A</v>
      </c>
      <c r="CU63" s="37" t="e">
        <v>#N/A</v>
      </c>
      <c r="CV63" s="37" t="e">
        <v>#N/A</v>
      </c>
      <c r="CW63" s="39" t="s">
        <v>39</v>
      </c>
      <c r="CX63" s="39" t="b">
        <v>1</v>
      </c>
      <c r="CY63" s="39" t="b">
        <v>1</v>
      </c>
      <c r="CZ63" s="39" t="b">
        <v>1</v>
      </c>
      <c r="DA63" s="39" t="b">
        <v>0</v>
      </c>
      <c r="DB63" s="39" t="b">
        <v>1</v>
      </c>
      <c r="DC63" s="39" t="b">
        <v>1</v>
      </c>
      <c r="DD63" s="39" t="b">
        <v>1</v>
      </c>
      <c r="DE63" s="39" t="b">
        <v>1</v>
      </c>
      <c r="DF63" s="132" t="s">
        <v>1512</v>
      </c>
      <c r="DG63" s="39" t="s">
        <v>414</v>
      </c>
      <c r="DH63" s="39" t="s">
        <v>373</v>
      </c>
      <c r="DI63" s="39" t="s">
        <v>372</v>
      </c>
      <c r="DJ63" s="39" t="s">
        <v>373</v>
      </c>
      <c r="DK63" s="39" t="s">
        <v>372</v>
      </c>
      <c r="DL63" s="39" t="s">
        <v>307</v>
      </c>
      <c r="DM63" s="39" t="b">
        <f t="shared" si="0"/>
        <v>0</v>
      </c>
      <c r="DN63" s="38" t="str">
        <f t="shared" si="1"/>
        <v>5360_Dien_Z 52_sport_1 M_20 _30_F</v>
      </c>
    </row>
    <row r="64" spans="1:118" x14ac:dyDescent="0.25">
      <c r="A64" s="37">
        <v>59</v>
      </c>
      <c r="C64" s="37">
        <v>1899</v>
      </c>
      <c r="D64" s="132" t="s">
        <v>751</v>
      </c>
      <c r="E64" s="57" t="s">
        <v>109</v>
      </c>
      <c r="F64" s="132" t="s">
        <v>750</v>
      </c>
      <c r="G64" s="132" t="s">
        <v>293</v>
      </c>
      <c r="H64" s="132">
        <v>92421</v>
      </c>
      <c r="I64" s="39" t="s">
        <v>114</v>
      </c>
      <c r="J64" s="132" t="s">
        <v>749</v>
      </c>
      <c r="K64" s="132" t="s">
        <v>748</v>
      </c>
      <c r="L64" s="132" t="s">
        <v>747</v>
      </c>
      <c r="M64" s="132" t="s">
        <v>746</v>
      </c>
      <c r="N64" s="132" t="e">
        <v>#N/A</v>
      </c>
      <c r="O64" s="134" t="e">
        <v>#N/A</v>
      </c>
      <c r="P64" s="132" t="e">
        <v>#N/A</v>
      </c>
      <c r="Q64" s="132" t="e">
        <v>#N/A</v>
      </c>
      <c r="R64" s="39" t="s">
        <v>120</v>
      </c>
      <c r="S64" s="39" t="e">
        <v>#N/A</v>
      </c>
      <c r="T64" s="39" t="e">
        <v>#N/A</v>
      </c>
      <c r="U64" s="40" t="s">
        <v>137</v>
      </c>
      <c r="V64" s="39" t="s">
        <v>144</v>
      </c>
      <c r="W64" s="39" t="e">
        <v>#N/A</v>
      </c>
      <c r="X64" s="39" t="e">
        <v>#N/A</v>
      </c>
      <c r="Y64" s="39" t="s">
        <v>745</v>
      </c>
      <c r="Z64" s="39" t="s">
        <v>148</v>
      </c>
      <c r="AA64" s="39" t="s">
        <v>159</v>
      </c>
      <c r="AB64" s="132" t="s">
        <v>1513</v>
      </c>
      <c r="AC64" s="132" t="e">
        <v>#N/A</v>
      </c>
      <c r="AD64" s="102" t="e">
        <v>#N/A</v>
      </c>
      <c r="AE64" s="102" t="e">
        <v>#N/A</v>
      </c>
      <c r="AF64" s="102" t="e">
        <v>#N/A</v>
      </c>
      <c r="AG64" s="102" t="e">
        <v>#N/A</v>
      </c>
      <c r="AH64" s="41" t="s">
        <v>163</v>
      </c>
      <c r="AI64" s="39" t="e">
        <v>#N/A</v>
      </c>
      <c r="AJ64" s="39" t="s">
        <v>182</v>
      </c>
      <c r="AK64" s="39">
        <v>38</v>
      </c>
      <c r="AL64" s="39" t="s">
        <v>191</v>
      </c>
      <c r="AM64" s="39" t="e">
        <v>#N/A</v>
      </c>
      <c r="AN64" s="39" t="b">
        <v>0</v>
      </c>
      <c r="AO64" s="39" t="b">
        <v>0</v>
      </c>
      <c r="AP64" s="39" t="b">
        <v>0</v>
      </c>
      <c r="AQ64" s="39" t="b">
        <v>0</v>
      </c>
      <c r="AR64" s="39" t="b">
        <v>0</v>
      </c>
      <c r="AS64" s="39" t="b">
        <v>0</v>
      </c>
      <c r="AT64" s="39" t="b">
        <v>1</v>
      </c>
      <c r="AU64" s="39" t="b">
        <v>0</v>
      </c>
      <c r="AV64" s="39" t="b">
        <v>0</v>
      </c>
      <c r="AW64" s="39" t="b">
        <v>0</v>
      </c>
      <c r="AX64" s="39" t="s">
        <v>195</v>
      </c>
      <c r="AY64" s="39" t="s">
        <v>196</v>
      </c>
      <c r="AZ64" s="39" t="s">
        <v>200</v>
      </c>
      <c r="BA64" s="39" t="s">
        <v>198</v>
      </c>
      <c r="BB64" s="39" t="s">
        <v>200</v>
      </c>
      <c r="BC64" s="39" t="s">
        <v>200</v>
      </c>
      <c r="BD64" s="39" t="s">
        <v>200</v>
      </c>
      <c r="BE64" s="39" t="s">
        <v>201</v>
      </c>
      <c r="BF64" s="37" t="e">
        <v>#N/A</v>
      </c>
      <c r="BG64" s="37" t="e">
        <v>#N/A</v>
      </c>
      <c r="BH64" s="39" t="s">
        <v>33</v>
      </c>
      <c r="BI64" s="39" t="s">
        <v>202</v>
      </c>
      <c r="BJ64" s="37" t="e">
        <v>#N/A</v>
      </c>
      <c r="BK64" s="37" t="e">
        <v>#N/A</v>
      </c>
      <c r="BL64" s="37" t="e">
        <v>#N/A</v>
      </c>
      <c r="BM64" s="37" t="e">
        <v>#N/A</v>
      </c>
      <c r="BN64" s="37" t="e">
        <v>#N/A</v>
      </c>
      <c r="BO64" s="37" t="e">
        <v>#N/A</v>
      </c>
      <c r="BP64" s="37" t="e">
        <v>#N/A</v>
      </c>
      <c r="BQ64" s="39" t="s">
        <v>210</v>
      </c>
      <c r="BR64" s="39" t="s">
        <v>104</v>
      </c>
      <c r="BS64" s="39" t="s">
        <v>209</v>
      </c>
      <c r="BT64" s="39" t="s">
        <v>33</v>
      </c>
      <c r="BU64" s="39" t="b">
        <v>0</v>
      </c>
      <c r="BV64" s="39" t="b">
        <v>0</v>
      </c>
      <c r="BW64" s="39" t="b">
        <v>0</v>
      </c>
      <c r="BX64" s="39" t="b">
        <v>0</v>
      </c>
      <c r="BY64" s="39" t="b">
        <v>0</v>
      </c>
      <c r="BZ64" s="39" t="b">
        <v>0</v>
      </c>
      <c r="CA64" s="39" t="b">
        <v>0</v>
      </c>
      <c r="CB64" s="39" t="b">
        <v>0</v>
      </c>
      <c r="CC64" s="39" t="b">
        <v>1</v>
      </c>
      <c r="CD64" s="39" t="s">
        <v>744</v>
      </c>
      <c r="CE64" s="39" t="b">
        <v>1</v>
      </c>
      <c r="CF64" s="39" t="b">
        <v>0</v>
      </c>
      <c r="CG64" s="39" t="b">
        <v>0</v>
      </c>
      <c r="CH64" s="39" t="b">
        <v>0</v>
      </c>
      <c r="CI64" s="39" t="b">
        <v>0</v>
      </c>
      <c r="CJ64" s="39" t="b">
        <v>0</v>
      </c>
      <c r="CK64" s="39" t="b">
        <v>0</v>
      </c>
      <c r="CL64" s="39" t="b">
        <v>1</v>
      </c>
      <c r="CM64" s="39" t="b">
        <v>0</v>
      </c>
      <c r="CN64" s="39" t="s">
        <v>33</v>
      </c>
      <c r="CO64" s="57" t="s">
        <v>212</v>
      </c>
      <c r="CP64" s="37" t="e">
        <v>#N/A</v>
      </c>
      <c r="CQ64" s="39" t="s">
        <v>743</v>
      </c>
      <c r="CR64" s="37" t="e">
        <v>#N/A</v>
      </c>
      <c r="CS64" s="37" t="e">
        <v>#N/A</v>
      </c>
      <c r="CT64" s="37" t="e">
        <v>#N/A</v>
      </c>
      <c r="CU64" s="37" t="e">
        <v>#N/A</v>
      </c>
      <c r="CV64" s="37" t="e">
        <v>#N/A</v>
      </c>
      <c r="CW64" s="39" t="s">
        <v>218</v>
      </c>
      <c r="CX64" s="39" t="b">
        <v>1</v>
      </c>
      <c r="CY64" s="39" t="b">
        <v>1</v>
      </c>
      <c r="CZ64" s="39" t="b">
        <v>1</v>
      </c>
      <c r="DA64" s="39" t="b">
        <v>0</v>
      </c>
      <c r="DB64" s="39" t="b">
        <v>1</v>
      </c>
      <c r="DC64" s="39" t="b">
        <v>1</v>
      </c>
      <c r="DD64" s="39" t="b">
        <v>0</v>
      </c>
      <c r="DE64" s="39" t="b">
        <v>0</v>
      </c>
      <c r="DF64" s="132" t="s">
        <v>1514</v>
      </c>
      <c r="DG64" s="39" t="s">
        <v>432</v>
      </c>
      <c r="DH64" s="39" t="s">
        <v>373</v>
      </c>
      <c r="DI64" s="39">
        <v>40680</v>
      </c>
      <c r="DJ64" s="39">
        <v>40679</v>
      </c>
      <c r="DK64" s="39">
        <v>40680</v>
      </c>
      <c r="DL64" s="39" t="s">
        <v>307</v>
      </c>
      <c r="DM64" s="39" t="b">
        <f t="shared" si="0"/>
        <v>1</v>
      </c>
      <c r="DN64" s="38" t="str">
        <f t="shared" si="1"/>
        <v>1899_Verk_Z 52_sport_XXX_50 _50_W</v>
      </c>
    </row>
    <row r="65" spans="1:118" ht="15.75" customHeight="1" x14ac:dyDescent="0.25">
      <c r="A65" s="37">
        <v>60</v>
      </c>
      <c r="C65" s="37">
        <v>7629</v>
      </c>
      <c r="D65" s="132" t="s">
        <v>413</v>
      </c>
      <c r="E65" s="57" t="s">
        <v>110</v>
      </c>
      <c r="F65" s="132" t="s">
        <v>412</v>
      </c>
      <c r="G65" s="132" t="s">
        <v>411</v>
      </c>
      <c r="H65" s="132">
        <v>92526</v>
      </c>
      <c r="I65" s="39" t="s">
        <v>114</v>
      </c>
      <c r="J65" s="132" t="s">
        <v>408</v>
      </c>
      <c r="K65" s="132" t="s">
        <v>410</v>
      </c>
      <c r="L65" s="132" t="s">
        <v>407</v>
      </c>
      <c r="M65" s="132" t="s">
        <v>409</v>
      </c>
      <c r="N65" s="132" t="s">
        <v>1515</v>
      </c>
      <c r="O65" s="132" t="s">
        <v>1515</v>
      </c>
      <c r="P65" s="132" t="s">
        <v>408</v>
      </c>
      <c r="Q65" s="132" t="s">
        <v>407</v>
      </c>
      <c r="R65" s="37" t="e">
        <v>#N/A</v>
      </c>
      <c r="S65" s="39" t="s">
        <v>119</v>
      </c>
      <c r="T65" s="39" t="s">
        <v>120</v>
      </c>
      <c r="U65" s="40" t="e">
        <v>#N/A</v>
      </c>
      <c r="V65" s="39" t="e">
        <v>#N/A</v>
      </c>
      <c r="W65" s="39" t="e">
        <v>#N/A</v>
      </c>
      <c r="X65" s="39" t="e">
        <v>#N/A</v>
      </c>
      <c r="Y65" s="39" t="s">
        <v>406</v>
      </c>
      <c r="Z65" s="39" t="s">
        <v>151</v>
      </c>
      <c r="AA65" s="39" t="s">
        <v>156</v>
      </c>
      <c r="AB65" s="132" t="e">
        <v>#N/A</v>
      </c>
      <c r="AC65" s="132" t="e">
        <v>#N/A</v>
      </c>
      <c r="AD65" s="102" t="e">
        <v>#N/A</v>
      </c>
      <c r="AE65" s="102" t="e">
        <v>#N/A</v>
      </c>
      <c r="AF65" s="102" t="e">
        <v>#N/A</v>
      </c>
      <c r="AG65" s="102" t="e">
        <v>#N/A</v>
      </c>
      <c r="AH65" s="41" t="s">
        <v>161</v>
      </c>
      <c r="AI65" s="39" t="s">
        <v>177</v>
      </c>
      <c r="AJ65" s="39" t="s">
        <v>182</v>
      </c>
      <c r="AK65" s="39" t="e">
        <v>#N/A</v>
      </c>
      <c r="AL65" s="39" t="s">
        <v>187</v>
      </c>
      <c r="AM65" s="39" t="e">
        <v>#N/A</v>
      </c>
      <c r="AN65" s="39" t="b">
        <v>0</v>
      </c>
      <c r="AO65" s="39" t="b">
        <v>0</v>
      </c>
      <c r="AP65" s="39" t="b">
        <v>0</v>
      </c>
      <c r="AQ65" s="39" t="b">
        <v>0</v>
      </c>
      <c r="AR65" s="39" t="b">
        <v>0</v>
      </c>
      <c r="AS65" s="39" t="b">
        <v>0</v>
      </c>
      <c r="AT65" s="39" t="b">
        <v>1</v>
      </c>
      <c r="AU65" s="39" t="b">
        <v>1</v>
      </c>
      <c r="AV65" s="39" t="b">
        <v>0</v>
      </c>
      <c r="AW65" s="39" t="b">
        <v>0</v>
      </c>
      <c r="AX65" s="39" t="s">
        <v>195</v>
      </c>
      <c r="AY65" s="37" t="e">
        <v>#N/A</v>
      </c>
      <c r="AZ65" s="37" t="e">
        <v>#N/A</v>
      </c>
      <c r="BA65" s="37" t="e">
        <v>#N/A</v>
      </c>
      <c r="BB65" s="37" t="e">
        <v>#N/A</v>
      </c>
      <c r="BC65" s="37" t="e">
        <v>#N/A</v>
      </c>
      <c r="BD65" s="37" t="e">
        <v>#N/A</v>
      </c>
      <c r="BE65" s="39" t="s">
        <v>202</v>
      </c>
      <c r="BF65" s="39">
        <v>16000</v>
      </c>
      <c r="BG65" s="37" t="e">
        <v>#N/A</v>
      </c>
      <c r="BH65" s="39" t="s">
        <v>33</v>
      </c>
      <c r="BI65" s="39" t="e">
        <v>#N/A</v>
      </c>
      <c r="BJ65" s="37" t="e">
        <v>#N/A</v>
      </c>
      <c r="BK65" s="37" t="e">
        <v>#N/A</v>
      </c>
      <c r="BL65" s="37" t="e">
        <v>#N/A</v>
      </c>
      <c r="BM65" s="37" t="e">
        <v>#N/A</v>
      </c>
      <c r="BN65" s="37" t="e">
        <v>#N/A</v>
      </c>
      <c r="BO65" s="37" t="e">
        <v>#N/A</v>
      </c>
      <c r="BP65" s="37" t="e">
        <v>#N/A</v>
      </c>
      <c r="BQ65" s="39" t="s">
        <v>209</v>
      </c>
      <c r="BR65" s="39" t="s">
        <v>104</v>
      </c>
      <c r="BS65" s="39" t="s">
        <v>208</v>
      </c>
      <c r="BT65" s="39" t="s">
        <v>39</v>
      </c>
      <c r="BU65" s="39" t="b">
        <v>0</v>
      </c>
      <c r="BV65" s="39" t="b">
        <v>0</v>
      </c>
      <c r="BW65" s="39" t="b">
        <v>0</v>
      </c>
      <c r="BX65" s="39" t="b">
        <v>0</v>
      </c>
      <c r="BY65" s="39" t="b">
        <v>0</v>
      </c>
      <c r="BZ65" s="39" t="b">
        <v>0</v>
      </c>
      <c r="CA65" s="39" t="b">
        <v>0</v>
      </c>
      <c r="CB65" s="39" t="b">
        <v>0</v>
      </c>
      <c r="CC65" s="39" t="b">
        <v>1</v>
      </c>
      <c r="CD65" s="39" t="s">
        <v>405</v>
      </c>
      <c r="CE65" s="39" t="b">
        <v>0</v>
      </c>
      <c r="CF65" s="39" t="b">
        <v>0</v>
      </c>
      <c r="CG65" s="39" t="b">
        <v>0</v>
      </c>
      <c r="CH65" s="39" t="b">
        <v>0</v>
      </c>
      <c r="CI65" s="39" t="b">
        <v>0</v>
      </c>
      <c r="CJ65" s="39" t="b">
        <v>0</v>
      </c>
      <c r="CK65" s="39" t="b">
        <v>0</v>
      </c>
      <c r="CL65" s="39" t="b">
        <v>0</v>
      </c>
      <c r="CM65" s="39" t="b">
        <v>1</v>
      </c>
      <c r="CN65" s="39" t="s">
        <v>39</v>
      </c>
      <c r="CO65" s="57" t="e">
        <v>#N/A</v>
      </c>
      <c r="CP65" s="39" t="e">
        <v>#N/A</v>
      </c>
      <c r="CQ65" s="39" t="e">
        <v>#N/A</v>
      </c>
      <c r="CR65" s="37" t="e">
        <v>#N/A</v>
      </c>
      <c r="CS65" s="37" t="e">
        <v>#N/A</v>
      </c>
      <c r="CT65" s="37" t="e">
        <v>#N/A</v>
      </c>
      <c r="CU65" s="37" t="e">
        <v>#N/A</v>
      </c>
      <c r="CV65" s="37" t="e">
        <v>#N/A</v>
      </c>
      <c r="CW65" s="37" t="e">
        <v>#N/A</v>
      </c>
      <c r="CX65" s="39" t="b">
        <v>1</v>
      </c>
      <c r="CY65" s="39" t="b">
        <v>1</v>
      </c>
      <c r="CZ65" s="39" t="b">
        <v>1</v>
      </c>
      <c r="DA65" s="39" t="b">
        <v>0</v>
      </c>
      <c r="DB65" s="39" t="b">
        <v>1</v>
      </c>
      <c r="DC65" s="39" t="b">
        <v>1</v>
      </c>
      <c r="DD65" s="39" t="b">
        <v>1</v>
      </c>
      <c r="DE65" s="39" t="b">
        <v>1</v>
      </c>
      <c r="DF65" s="132" t="s">
        <v>1516</v>
      </c>
      <c r="DG65" s="39" t="s">
        <v>234</v>
      </c>
      <c r="DH65" s="39" t="s">
        <v>404</v>
      </c>
      <c r="DI65" s="39" t="s">
        <v>373</v>
      </c>
      <c r="DJ65" s="39" t="s">
        <v>403</v>
      </c>
      <c r="DK65" s="39" t="s">
        <v>402</v>
      </c>
      <c r="DL65" s="39" t="s">
        <v>231</v>
      </c>
      <c r="DM65" s="39" t="b">
        <f t="shared" si="0"/>
        <v>1</v>
      </c>
      <c r="DN65" s="38" t="str">
        <f t="shared" si="1"/>
        <v>7629_XXXX_XXXX_ktion_5 M_50 _bi_W</v>
      </c>
    </row>
    <row r="66" spans="1:118" ht="15.75" customHeight="1" x14ac:dyDescent="0.25">
      <c r="A66" s="37">
        <v>61</v>
      </c>
      <c r="C66" s="37">
        <v>9934</v>
      </c>
      <c r="D66" s="132" t="s">
        <v>245</v>
      </c>
      <c r="E66" s="57" t="s">
        <v>110</v>
      </c>
      <c r="F66" s="132" t="s">
        <v>244</v>
      </c>
      <c r="G66" s="132" t="s">
        <v>243</v>
      </c>
      <c r="H66" s="132">
        <v>92436</v>
      </c>
      <c r="I66" s="39" t="s">
        <v>114</v>
      </c>
      <c r="J66" s="132" t="s">
        <v>242</v>
      </c>
      <c r="K66" s="132" t="s">
        <v>241</v>
      </c>
      <c r="L66" s="132" t="s">
        <v>240</v>
      </c>
      <c r="M66" s="132" t="s">
        <v>239</v>
      </c>
      <c r="N66" s="132" t="s">
        <v>1517</v>
      </c>
      <c r="O66" s="132" t="s">
        <v>1518</v>
      </c>
      <c r="P66" s="132" t="s">
        <v>1519</v>
      </c>
      <c r="Q66" s="132" t="s">
        <v>1520</v>
      </c>
      <c r="R66" s="39" t="s">
        <v>118</v>
      </c>
      <c r="S66" s="39" t="e">
        <v>#N/A</v>
      </c>
      <c r="T66" s="39" t="e">
        <v>#N/A</v>
      </c>
      <c r="U66" s="40" t="s">
        <v>145</v>
      </c>
      <c r="V66" s="39" t="e">
        <v>#N/A</v>
      </c>
      <c r="W66" s="39" t="e">
        <v>#N/A</v>
      </c>
      <c r="X66" s="39" t="e">
        <v>#N/A</v>
      </c>
      <c r="Y66" s="39" t="s">
        <v>238</v>
      </c>
      <c r="Z66" s="39" t="s">
        <v>149</v>
      </c>
      <c r="AA66" s="39" t="s">
        <v>156</v>
      </c>
      <c r="AB66" s="132" t="e">
        <v>#N/A</v>
      </c>
      <c r="AC66" s="132" t="e">
        <v>#N/A</v>
      </c>
      <c r="AD66" s="102" t="e">
        <v>#N/A</v>
      </c>
      <c r="AE66" s="102" t="e">
        <v>#N/A</v>
      </c>
      <c r="AF66" s="102" t="e">
        <v>#N/A</v>
      </c>
      <c r="AG66" s="102" t="e">
        <v>#N/A</v>
      </c>
      <c r="AH66" s="41" t="s">
        <v>166</v>
      </c>
      <c r="AI66" s="39" t="s">
        <v>177</v>
      </c>
      <c r="AJ66" s="39" t="s">
        <v>182</v>
      </c>
      <c r="AK66" s="39" t="e">
        <v>#N/A</v>
      </c>
      <c r="AL66" s="39" t="s">
        <v>187</v>
      </c>
      <c r="AM66" s="39" t="e">
        <v>#N/A</v>
      </c>
      <c r="AN66" s="39" t="b">
        <v>1</v>
      </c>
      <c r="AO66" s="39" t="b">
        <v>0</v>
      </c>
      <c r="AP66" s="39" t="b">
        <v>0</v>
      </c>
      <c r="AQ66" s="39" t="b">
        <v>0</v>
      </c>
      <c r="AR66" s="39" t="b">
        <v>0</v>
      </c>
      <c r="AS66" s="39" t="b">
        <v>1</v>
      </c>
      <c r="AT66" s="39" t="b">
        <v>0</v>
      </c>
      <c r="AU66" s="39" t="b">
        <v>0</v>
      </c>
      <c r="AV66" s="39" t="b">
        <v>0</v>
      </c>
      <c r="AW66" s="39" t="b">
        <v>0</v>
      </c>
      <c r="AX66" s="39" t="s">
        <v>195</v>
      </c>
      <c r="AY66" s="39" t="s">
        <v>196</v>
      </c>
      <c r="AZ66" s="37" t="e">
        <v>#N/A</v>
      </c>
      <c r="BA66" s="37" t="e">
        <v>#N/A</v>
      </c>
      <c r="BB66" s="37" t="e">
        <v>#N/A</v>
      </c>
      <c r="BC66" s="37" t="e">
        <v>#N/A</v>
      </c>
      <c r="BD66" s="37" t="e">
        <v>#N/A</v>
      </c>
      <c r="BE66" s="39" t="s">
        <v>202</v>
      </c>
      <c r="BF66" s="39" t="s">
        <v>237</v>
      </c>
      <c r="BG66" s="37" t="e">
        <v>#N/A</v>
      </c>
      <c r="BH66" s="39" t="s">
        <v>39</v>
      </c>
      <c r="BI66" s="39" t="s">
        <v>236</v>
      </c>
      <c r="BJ66" s="37" t="e">
        <v>#N/A</v>
      </c>
      <c r="BK66" s="37" t="e">
        <v>#N/A</v>
      </c>
      <c r="BL66" s="37" t="e">
        <v>#N/A</v>
      </c>
      <c r="BM66" s="37" t="e">
        <v>#N/A</v>
      </c>
      <c r="BN66" s="37" t="e">
        <v>#N/A</v>
      </c>
      <c r="BO66" s="37" t="e">
        <v>#N/A</v>
      </c>
      <c r="BP66" s="37" t="e">
        <v>#N/A</v>
      </c>
      <c r="BQ66" s="39" t="s">
        <v>210</v>
      </c>
      <c r="BR66" s="39" t="s">
        <v>104</v>
      </c>
      <c r="BS66" s="39" t="s">
        <v>208</v>
      </c>
      <c r="BT66" s="37" t="e">
        <v>#N/A</v>
      </c>
      <c r="BU66" s="39" t="b">
        <v>0</v>
      </c>
      <c r="BV66" s="39" t="b">
        <v>0</v>
      </c>
      <c r="BW66" s="39" t="b">
        <v>0</v>
      </c>
      <c r="BX66" s="39" t="b">
        <v>0</v>
      </c>
      <c r="BY66" s="39" t="b">
        <v>0</v>
      </c>
      <c r="BZ66" s="39" t="b">
        <v>0</v>
      </c>
      <c r="CA66" s="39" t="b">
        <v>0</v>
      </c>
      <c r="CB66" s="39" t="b">
        <v>0</v>
      </c>
      <c r="CC66" s="39" t="b">
        <v>1</v>
      </c>
      <c r="CD66" s="39" t="s">
        <v>235</v>
      </c>
      <c r="CE66" s="39" t="b">
        <v>0</v>
      </c>
      <c r="CF66" s="39" t="b">
        <v>0</v>
      </c>
      <c r="CG66" s="39" t="b">
        <v>0</v>
      </c>
      <c r="CH66" s="39" t="b">
        <v>0</v>
      </c>
      <c r="CI66" s="39" t="b">
        <v>0</v>
      </c>
      <c r="CJ66" s="39" t="b">
        <v>0</v>
      </c>
      <c r="CK66" s="39" t="b">
        <v>0</v>
      </c>
      <c r="CL66" s="39" t="b">
        <v>0</v>
      </c>
      <c r="CM66" s="39" t="b">
        <v>0</v>
      </c>
      <c r="CN66" s="39" t="s">
        <v>39</v>
      </c>
      <c r="CO66" s="57" t="e">
        <v>#N/A</v>
      </c>
      <c r="CP66" s="39" t="e">
        <v>#N/A</v>
      </c>
      <c r="CQ66" s="39" t="e">
        <v>#N/A</v>
      </c>
      <c r="CR66" s="37" t="e">
        <v>#N/A</v>
      </c>
      <c r="CS66" s="37" t="e">
        <v>#N/A</v>
      </c>
      <c r="CT66" s="37" t="e">
        <v>#N/A</v>
      </c>
      <c r="CU66" s="37" t="e">
        <v>#N/A</v>
      </c>
      <c r="CV66" s="37" t="e">
        <v>#N/A</v>
      </c>
      <c r="CW66" s="37" t="e">
        <v>#N/A</v>
      </c>
      <c r="CX66" s="39" t="b">
        <v>1</v>
      </c>
      <c r="CY66" s="39" t="b">
        <v>1</v>
      </c>
      <c r="CZ66" s="39" t="b">
        <v>1</v>
      </c>
      <c r="DA66" s="39" t="b">
        <v>0</v>
      </c>
      <c r="DB66" s="39" t="b">
        <v>1</v>
      </c>
      <c r="DC66" s="39" t="b">
        <v>0</v>
      </c>
      <c r="DD66" s="39" t="b">
        <v>0</v>
      </c>
      <c r="DE66" s="39" t="b">
        <v>1</v>
      </c>
      <c r="DF66" s="132" t="e">
        <v>#N/A</v>
      </c>
      <c r="DG66" s="39" t="s">
        <v>234</v>
      </c>
      <c r="DH66" s="39" t="s">
        <v>233</v>
      </c>
      <c r="DI66" s="37" t="e">
        <v>#N/A</v>
      </c>
      <c r="DJ66" s="39" t="s">
        <v>232</v>
      </c>
      <c r="DK66" s="39">
        <v>40702</v>
      </c>
      <c r="DL66" s="39" t="s">
        <v>231</v>
      </c>
      <c r="DM66" s="39" t="b">
        <f t="shared" si="0"/>
        <v>0</v>
      </c>
      <c r="DN66" s="38" t="str">
        <f t="shared" si="1"/>
        <v>9934_Indu_Z 82_rcing_5 M_50 _bi_F</v>
      </c>
    </row>
    <row r="67" spans="1:118" ht="15.75" customHeight="1" x14ac:dyDescent="0.25">
      <c r="A67" s="37">
        <v>62</v>
      </c>
      <c r="C67" s="37">
        <v>2146</v>
      </c>
      <c r="D67" s="132" t="s">
        <v>742</v>
      </c>
      <c r="E67" s="57" t="s">
        <v>110</v>
      </c>
      <c r="F67" s="132" t="s">
        <v>741</v>
      </c>
      <c r="G67" s="132" t="s">
        <v>740</v>
      </c>
      <c r="H67" s="132">
        <v>92533</v>
      </c>
      <c r="I67" s="39" t="s">
        <v>114</v>
      </c>
      <c r="J67" s="132" t="s">
        <v>737</v>
      </c>
      <c r="K67" s="132" t="s">
        <v>739</v>
      </c>
      <c r="L67" s="132" t="s">
        <v>736</v>
      </c>
      <c r="M67" s="132" t="s">
        <v>738</v>
      </c>
      <c r="N67" s="132" t="s">
        <v>1521</v>
      </c>
      <c r="O67" s="132" t="s">
        <v>1522</v>
      </c>
      <c r="P67" s="132" t="s">
        <v>737</v>
      </c>
      <c r="Q67" s="132" t="s">
        <v>736</v>
      </c>
      <c r="R67" s="39" t="s">
        <v>121</v>
      </c>
      <c r="S67" s="39" t="s">
        <v>122</v>
      </c>
      <c r="T67" s="39" t="e">
        <v>#N/A</v>
      </c>
      <c r="U67" s="40" t="e">
        <v>#N/A</v>
      </c>
      <c r="V67" s="39" t="e">
        <v>#N/A</v>
      </c>
      <c r="W67" s="39" t="e">
        <v>#N/A</v>
      </c>
      <c r="X67" s="39" t="e">
        <v>#N/A</v>
      </c>
      <c r="Y67" s="39" t="e">
        <v>#N/A</v>
      </c>
      <c r="Z67" s="39" t="s">
        <v>148</v>
      </c>
      <c r="AA67" s="39" t="s">
        <v>157</v>
      </c>
      <c r="AB67" s="132" t="e">
        <v>#N/A</v>
      </c>
      <c r="AC67" s="132" t="e">
        <v>#N/A</v>
      </c>
      <c r="AD67" s="102" t="e">
        <v>#N/A</v>
      </c>
      <c r="AE67" s="102" t="e">
        <v>#N/A</v>
      </c>
      <c r="AF67" s="102" t="e">
        <v>#N/A</v>
      </c>
      <c r="AG67" s="102" t="e">
        <v>#N/A</v>
      </c>
      <c r="AH67" s="41" t="s">
        <v>161</v>
      </c>
      <c r="AI67" s="39" t="s">
        <v>176</v>
      </c>
      <c r="AJ67" s="39" t="s">
        <v>181</v>
      </c>
      <c r="AK67" s="39" t="s">
        <v>735</v>
      </c>
      <c r="AL67" s="39" t="s">
        <v>187</v>
      </c>
      <c r="AM67" s="39" t="e">
        <v>#N/A</v>
      </c>
      <c r="AN67" s="39" t="b">
        <v>0</v>
      </c>
      <c r="AO67" s="39" t="b">
        <v>0</v>
      </c>
      <c r="AP67" s="39" t="b">
        <v>0</v>
      </c>
      <c r="AQ67" s="39" t="b">
        <v>0</v>
      </c>
      <c r="AR67" s="39" t="b">
        <v>0</v>
      </c>
      <c r="AS67" s="39" t="b">
        <v>0</v>
      </c>
      <c r="AT67" s="39" t="b">
        <v>1</v>
      </c>
      <c r="AU67" s="39" t="b">
        <v>0</v>
      </c>
      <c r="AV67" s="39" t="b">
        <v>0</v>
      </c>
      <c r="AW67" s="39" t="b">
        <v>0</v>
      </c>
      <c r="AX67" s="39" t="s">
        <v>195</v>
      </c>
      <c r="AY67" s="39" t="s">
        <v>200</v>
      </c>
      <c r="AZ67" s="39" t="s">
        <v>200</v>
      </c>
      <c r="BA67" s="39" t="s">
        <v>200</v>
      </c>
      <c r="BB67" s="39" t="s">
        <v>200</v>
      </c>
      <c r="BC67" s="39" t="s">
        <v>200</v>
      </c>
      <c r="BD67" s="39" t="s">
        <v>200</v>
      </c>
      <c r="BE67" s="39" t="s">
        <v>249</v>
      </c>
      <c r="BF67" s="37" t="e">
        <v>#N/A</v>
      </c>
      <c r="BG67" s="37" t="e">
        <v>#N/A</v>
      </c>
      <c r="BH67" s="37" t="e">
        <v>#N/A</v>
      </c>
      <c r="BI67" s="39" t="e">
        <v>#N/A</v>
      </c>
      <c r="BJ67" s="37" t="e">
        <v>#N/A</v>
      </c>
      <c r="BK67" s="37" t="e">
        <v>#N/A</v>
      </c>
      <c r="BL67" s="37" t="e">
        <v>#N/A</v>
      </c>
      <c r="BM67" s="37" t="e">
        <v>#N/A</v>
      </c>
      <c r="BN67" s="37" t="e">
        <v>#N/A</v>
      </c>
      <c r="BO67" s="37" t="e">
        <v>#N/A</v>
      </c>
      <c r="BP67" s="37" t="e">
        <v>#N/A</v>
      </c>
      <c r="BQ67" s="39" t="s">
        <v>210</v>
      </c>
      <c r="BR67" s="39" t="s">
        <v>104</v>
      </c>
      <c r="BS67" s="39" t="s">
        <v>208</v>
      </c>
      <c r="BT67" s="39" t="s">
        <v>39</v>
      </c>
      <c r="BU67" s="39" t="b">
        <v>0</v>
      </c>
      <c r="BV67" s="39" t="b">
        <v>0</v>
      </c>
      <c r="BW67" s="39" t="b">
        <v>0</v>
      </c>
      <c r="BX67" s="39" t="b">
        <v>0</v>
      </c>
      <c r="BY67" s="39" t="b">
        <v>0</v>
      </c>
      <c r="BZ67" s="39" t="b">
        <v>0</v>
      </c>
      <c r="CA67" s="39" t="b">
        <v>0</v>
      </c>
      <c r="CB67" s="39" t="b">
        <v>0</v>
      </c>
      <c r="CC67" s="39" t="b">
        <v>1</v>
      </c>
      <c r="CD67" s="39" t="s">
        <v>734</v>
      </c>
      <c r="CE67" s="39" t="b">
        <v>0</v>
      </c>
      <c r="CF67" s="39" t="b">
        <v>0</v>
      </c>
      <c r="CG67" s="39" t="b">
        <v>0</v>
      </c>
      <c r="CH67" s="39" t="b">
        <v>0</v>
      </c>
      <c r="CI67" s="39" t="b">
        <v>0</v>
      </c>
      <c r="CJ67" s="39" t="b">
        <v>0</v>
      </c>
      <c r="CK67" s="39" t="b">
        <v>0</v>
      </c>
      <c r="CL67" s="39" t="b">
        <v>0</v>
      </c>
      <c r="CM67" s="39" t="b">
        <v>0</v>
      </c>
      <c r="CN67" s="39" t="s">
        <v>39</v>
      </c>
      <c r="CO67" s="57" t="e">
        <v>#N/A</v>
      </c>
      <c r="CP67" s="39" t="e">
        <v>#N/A</v>
      </c>
      <c r="CQ67" s="39" t="e">
        <v>#N/A</v>
      </c>
      <c r="CR67" s="37" t="e">
        <v>#N/A</v>
      </c>
      <c r="CS67" s="37" t="e">
        <v>#N/A</v>
      </c>
      <c r="CT67" s="37" t="e">
        <v>#N/A</v>
      </c>
      <c r="CU67" s="37" t="e">
        <v>#N/A</v>
      </c>
      <c r="CV67" s="37" t="e">
        <v>#N/A</v>
      </c>
      <c r="CW67" s="37" t="e">
        <v>#N/A</v>
      </c>
      <c r="CX67" s="39" t="b">
        <v>0</v>
      </c>
      <c r="CY67" s="39" t="b">
        <v>0</v>
      </c>
      <c r="CZ67" s="39" t="b">
        <v>0</v>
      </c>
      <c r="DA67" s="39" t="b">
        <v>0</v>
      </c>
      <c r="DB67" s="39" t="b">
        <v>0</v>
      </c>
      <c r="DC67" s="39" t="b">
        <v>0</v>
      </c>
      <c r="DD67" s="39" t="b">
        <v>0</v>
      </c>
      <c r="DE67" s="39" t="b">
        <v>0</v>
      </c>
      <c r="DF67" s="132" t="e">
        <v>#N/A</v>
      </c>
      <c r="DG67" s="39" t="s">
        <v>733</v>
      </c>
      <c r="DH67" s="39">
        <v>40667</v>
      </c>
      <c r="DI67" s="37" t="e">
        <v>#N/A</v>
      </c>
      <c r="DJ67" s="39">
        <v>40682</v>
      </c>
      <c r="DK67" s="39">
        <v>40689</v>
      </c>
      <c r="DL67" s="39" t="s">
        <v>266</v>
      </c>
      <c r="DM67" s="39" t="b">
        <f t="shared" si="0"/>
        <v>0</v>
      </c>
      <c r="DN67" s="38" t="str">
        <f t="shared" si="1"/>
        <v>2146_Groß_XXXX_ktion_1 M_20 _bi_F</v>
      </c>
    </row>
    <row r="68" spans="1:118" ht="15.75" customHeight="1" x14ac:dyDescent="0.25">
      <c r="A68" s="37">
        <v>63</v>
      </c>
      <c r="C68" s="37">
        <v>6609</v>
      </c>
      <c r="D68" s="132" t="s">
        <v>457</v>
      </c>
      <c r="E68" s="57" t="s">
        <v>109</v>
      </c>
      <c r="F68" s="132" t="s">
        <v>456</v>
      </c>
      <c r="G68" s="132" t="s">
        <v>455</v>
      </c>
      <c r="H68" s="132">
        <v>92711</v>
      </c>
      <c r="I68" s="39" t="s">
        <v>114</v>
      </c>
      <c r="J68" s="132" t="s">
        <v>454</v>
      </c>
      <c r="K68" s="132" t="s">
        <v>453</v>
      </c>
      <c r="L68" s="132" t="s">
        <v>452</v>
      </c>
      <c r="M68" s="132" t="s">
        <v>451</v>
      </c>
      <c r="N68" s="132" t="s">
        <v>1523</v>
      </c>
      <c r="O68" s="132" t="s">
        <v>1524</v>
      </c>
      <c r="P68" s="132" t="s">
        <v>1525</v>
      </c>
      <c r="Q68" s="132" t="s">
        <v>1526</v>
      </c>
      <c r="R68" s="39" t="s">
        <v>120</v>
      </c>
      <c r="S68" s="39" t="e">
        <v>#N/A</v>
      </c>
      <c r="T68" s="39" t="s">
        <v>124</v>
      </c>
      <c r="U68" s="40" t="e">
        <v>#N/A</v>
      </c>
      <c r="V68" s="39" t="e">
        <v>#N/A</v>
      </c>
      <c r="W68" s="39" t="e">
        <v>#N/A</v>
      </c>
      <c r="X68" s="39" t="e">
        <v>#N/A</v>
      </c>
      <c r="Y68" s="39" t="s">
        <v>450</v>
      </c>
      <c r="Z68" s="39" t="s">
        <v>148</v>
      </c>
      <c r="AA68" s="39" t="s">
        <v>157</v>
      </c>
      <c r="AB68" s="132" t="e">
        <v>#N/A</v>
      </c>
      <c r="AC68" s="132" t="e">
        <v>#N/A</v>
      </c>
      <c r="AD68" s="102" t="e">
        <v>#N/A</v>
      </c>
      <c r="AE68" s="102" t="e">
        <v>#N/A</v>
      </c>
      <c r="AF68" s="102" t="e">
        <v>#N/A</v>
      </c>
      <c r="AG68" s="102" t="e">
        <v>#N/A</v>
      </c>
      <c r="AH68" s="41" t="s">
        <v>154</v>
      </c>
      <c r="AI68" s="39" t="s">
        <v>178</v>
      </c>
      <c r="AJ68" s="39" t="s">
        <v>186</v>
      </c>
      <c r="AK68" s="39" t="s">
        <v>449</v>
      </c>
      <c r="AL68" s="37" t="e">
        <v>#N/A</v>
      </c>
      <c r="AM68" s="39" t="e">
        <v>#N/A</v>
      </c>
      <c r="AN68" s="39" t="b">
        <v>0</v>
      </c>
      <c r="AO68" s="39" t="b">
        <v>0</v>
      </c>
      <c r="AP68" s="39" t="b">
        <v>0</v>
      </c>
      <c r="AQ68" s="39" t="b">
        <v>0</v>
      </c>
      <c r="AR68" s="39" t="b">
        <v>0</v>
      </c>
      <c r="AS68" s="39" t="b">
        <v>0</v>
      </c>
      <c r="AT68" s="39" t="b">
        <v>1</v>
      </c>
      <c r="AU68" s="39" t="b">
        <v>0</v>
      </c>
      <c r="AV68" s="39" t="b">
        <v>0</v>
      </c>
      <c r="AW68" s="39" t="b">
        <v>0</v>
      </c>
      <c r="AX68" s="39" t="e">
        <v>#N/A</v>
      </c>
      <c r="AY68" s="39" t="s">
        <v>196</v>
      </c>
      <c r="AZ68" s="39" t="s">
        <v>199</v>
      </c>
      <c r="BA68" s="39" t="s">
        <v>200</v>
      </c>
      <c r="BB68" s="39" t="s">
        <v>200</v>
      </c>
      <c r="BC68" s="39" t="s">
        <v>200</v>
      </c>
      <c r="BD68" s="39" t="s">
        <v>200</v>
      </c>
      <c r="BE68" s="39" t="s">
        <v>448</v>
      </c>
      <c r="BF68" s="72" t="e">
        <v>#N/A</v>
      </c>
      <c r="BG68" s="72" t="e">
        <v>#N/A</v>
      </c>
      <c r="BH68" s="72" t="e">
        <v>#N/A</v>
      </c>
      <c r="BI68" s="39" t="e">
        <v>#N/A</v>
      </c>
      <c r="BJ68" s="72" t="e">
        <v>#N/A</v>
      </c>
      <c r="BK68" s="72" t="e">
        <v>#N/A</v>
      </c>
      <c r="BL68" s="72" t="e">
        <v>#N/A</v>
      </c>
      <c r="BM68" s="37" t="e">
        <v>#N/A</v>
      </c>
      <c r="BN68" s="72" t="e">
        <v>#N/A</v>
      </c>
      <c r="BO68" s="72" t="e">
        <v>#N/A</v>
      </c>
      <c r="BP68" s="72" t="e">
        <v>#N/A</v>
      </c>
      <c r="BQ68" s="39" t="s">
        <v>209</v>
      </c>
      <c r="BR68" s="39" t="s">
        <v>104</v>
      </c>
      <c r="BS68" s="39" t="s">
        <v>209</v>
      </c>
      <c r="BT68" s="39" t="s">
        <v>33</v>
      </c>
      <c r="BU68" s="39" t="b">
        <v>0</v>
      </c>
      <c r="BV68" s="39" t="b">
        <v>0</v>
      </c>
      <c r="BW68" s="39" t="b">
        <v>0</v>
      </c>
      <c r="BX68" s="39" t="b">
        <v>0</v>
      </c>
      <c r="BY68" s="39" t="b">
        <v>0</v>
      </c>
      <c r="BZ68" s="39" t="b">
        <v>0</v>
      </c>
      <c r="CA68" s="39" t="b">
        <v>0</v>
      </c>
      <c r="CB68" s="39" t="b">
        <v>0</v>
      </c>
      <c r="CC68" s="39" t="b">
        <v>1</v>
      </c>
      <c r="CD68" s="39" t="e">
        <v>#N/A</v>
      </c>
      <c r="CE68" s="39" t="b">
        <v>0</v>
      </c>
      <c r="CF68" s="39" t="b">
        <v>0</v>
      </c>
      <c r="CG68" s="39" t="b">
        <v>0</v>
      </c>
      <c r="CH68" s="39" t="b">
        <v>0</v>
      </c>
      <c r="CI68" s="39" t="b">
        <v>0</v>
      </c>
      <c r="CJ68" s="39" t="b">
        <v>0</v>
      </c>
      <c r="CK68" s="39" t="b">
        <v>0</v>
      </c>
      <c r="CL68" s="39" t="b">
        <v>0</v>
      </c>
      <c r="CM68" s="39" t="b">
        <v>0</v>
      </c>
      <c r="CN68" s="39" t="s">
        <v>39</v>
      </c>
      <c r="CO68" s="57" t="e">
        <v>#N/A</v>
      </c>
      <c r="CP68" s="39" t="e">
        <v>#N/A</v>
      </c>
      <c r="CQ68" s="39" t="e">
        <v>#N/A</v>
      </c>
      <c r="CR68" s="72" t="e">
        <v>#N/A</v>
      </c>
      <c r="CS68" s="72" t="e">
        <v>#N/A</v>
      </c>
      <c r="CT68" s="72" t="e">
        <v>#N/A</v>
      </c>
      <c r="CU68" s="72" t="e">
        <v>#N/A</v>
      </c>
      <c r="CV68" s="72" t="e">
        <v>#N/A</v>
      </c>
      <c r="CW68" s="39" t="s">
        <v>39</v>
      </c>
      <c r="CX68" s="39" t="b">
        <v>0</v>
      </c>
      <c r="CY68" s="39" t="b">
        <v>1</v>
      </c>
      <c r="CZ68" s="39" t="b">
        <v>1</v>
      </c>
      <c r="DA68" s="39" t="b">
        <v>0</v>
      </c>
      <c r="DB68" s="39" t="b">
        <v>1</v>
      </c>
      <c r="DC68" s="39" t="b">
        <v>1</v>
      </c>
      <c r="DD68" s="39" t="b">
        <v>1</v>
      </c>
      <c r="DE68" s="39" t="b">
        <v>0</v>
      </c>
      <c r="DF68" s="132" t="e">
        <v>#N/A</v>
      </c>
      <c r="DG68" s="39" t="s">
        <v>447</v>
      </c>
      <c r="DH68" s="72" t="e">
        <v>#N/A</v>
      </c>
      <c r="DI68" s="72" t="e">
        <v>#N/A</v>
      </c>
      <c r="DJ68" s="72" t="e">
        <v>#N/A</v>
      </c>
      <c r="DK68" s="72" t="e">
        <v>#N/A</v>
      </c>
      <c r="DL68" s="37" t="s">
        <v>348</v>
      </c>
      <c r="DM68" s="39" t="b">
        <f t="shared" si="0"/>
        <v>0</v>
      </c>
      <c r="DN68" s="38" t="str">
        <f t="shared" si="1"/>
        <v>6609_Verk_XXXX_stige_übe_ab _XX_F</v>
      </c>
    </row>
    <row r="69" spans="1:118" ht="15.75" customHeight="1" x14ac:dyDescent="0.25">
      <c r="A69" s="37">
        <v>64</v>
      </c>
      <c r="C69" s="37">
        <v>9762</v>
      </c>
      <c r="D69" s="133" t="s">
        <v>254</v>
      </c>
      <c r="E69" s="41" t="s">
        <v>111</v>
      </c>
      <c r="F69" s="133" t="s">
        <v>253</v>
      </c>
      <c r="G69" s="133" t="s">
        <v>252</v>
      </c>
      <c r="H69" s="133">
        <v>91275</v>
      </c>
      <c r="I69" s="41" t="s">
        <v>114</v>
      </c>
      <c r="J69" s="133" t="s">
        <v>251</v>
      </c>
      <c r="K69" s="134" t="e">
        <v>#N/A</v>
      </c>
      <c r="L69" s="134" t="e">
        <v>#N/A</v>
      </c>
      <c r="M69" s="134" t="e">
        <v>#N/A</v>
      </c>
      <c r="N69" s="134" t="e">
        <v>#N/A</v>
      </c>
      <c r="O69" s="133" t="s">
        <v>1527</v>
      </c>
      <c r="P69" s="133" t="s">
        <v>1528</v>
      </c>
      <c r="Q69" s="133" t="s">
        <v>1529</v>
      </c>
      <c r="R69" s="41" t="s">
        <v>118</v>
      </c>
      <c r="S69" s="41" t="s">
        <v>117</v>
      </c>
      <c r="T69" s="41" t="s">
        <v>120</v>
      </c>
      <c r="U69" s="40" t="e">
        <v>#N/A</v>
      </c>
      <c r="V69" s="39" t="e">
        <v>#N/A</v>
      </c>
      <c r="W69" s="39" t="e">
        <v>#N/A</v>
      </c>
      <c r="X69" s="39" t="e">
        <v>#N/A</v>
      </c>
      <c r="Y69" s="41" t="s">
        <v>250</v>
      </c>
      <c r="Z69" s="41" t="s">
        <v>154</v>
      </c>
      <c r="AA69" s="41" t="s">
        <v>158</v>
      </c>
      <c r="AB69" s="102" t="e">
        <v>#N/A</v>
      </c>
      <c r="AC69" s="102" t="e">
        <v>#N/A</v>
      </c>
      <c r="AD69" s="102" t="e">
        <v>#N/A</v>
      </c>
      <c r="AE69" s="102" t="e">
        <v>#N/A</v>
      </c>
      <c r="AF69" s="102" t="e">
        <v>#N/A</v>
      </c>
      <c r="AG69" s="102" t="e">
        <v>#N/A</v>
      </c>
      <c r="AH69" s="41" t="s">
        <v>161</v>
      </c>
      <c r="AI69" s="37" t="e">
        <v>#N/A</v>
      </c>
      <c r="AJ69" s="37" t="e">
        <v>#N/A</v>
      </c>
      <c r="AK69" s="37" t="e">
        <v>#N/A</v>
      </c>
      <c r="AL69" s="41" t="s">
        <v>187</v>
      </c>
      <c r="AM69" s="37" t="e">
        <v>#N/A</v>
      </c>
      <c r="AN69" s="41" t="b">
        <v>1</v>
      </c>
      <c r="AO69" s="41" t="b">
        <v>0</v>
      </c>
      <c r="AP69" s="41" t="b">
        <v>1</v>
      </c>
      <c r="AQ69" s="41" t="b">
        <v>0</v>
      </c>
      <c r="AR69" s="41" t="b">
        <v>0</v>
      </c>
      <c r="AS69" s="41" t="b">
        <v>1</v>
      </c>
      <c r="AT69" s="41" t="b">
        <v>0</v>
      </c>
      <c r="AU69" s="41" t="b">
        <v>0</v>
      </c>
      <c r="AV69" s="41" t="b">
        <v>0</v>
      </c>
      <c r="AW69" s="41" t="b">
        <v>0</v>
      </c>
      <c r="AX69" s="41" t="s">
        <v>194</v>
      </c>
      <c r="AY69" s="41" t="s">
        <v>196</v>
      </c>
      <c r="AZ69" s="41" t="s">
        <v>198</v>
      </c>
      <c r="BA69" s="41" t="s">
        <v>199</v>
      </c>
      <c r="BB69" s="41" t="s">
        <v>198</v>
      </c>
      <c r="BC69" s="41" t="s">
        <v>197</v>
      </c>
      <c r="BD69" s="41" t="s">
        <v>197</v>
      </c>
      <c r="BE69" s="41" t="s">
        <v>249</v>
      </c>
      <c r="BF69" s="37" t="e">
        <v>#N/A</v>
      </c>
      <c r="BG69" s="37" t="e">
        <v>#N/A</v>
      </c>
      <c r="BH69" s="37" t="e">
        <v>#N/A</v>
      </c>
      <c r="BI69" s="41" t="s">
        <v>202</v>
      </c>
      <c r="BJ69" s="37" t="e">
        <v>#N/A</v>
      </c>
      <c r="BK69" s="37" t="e">
        <v>#N/A</v>
      </c>
      <c r="BL69" s="37" t="e">
        <v>#N/A</v>
      </c>
      <c r="BM69" s="41" t="s">
        <v>206</v>
      </c>
      <c r="BN69" s="37" t="e">
        <v>#N/A</v>
      </c>
      <c r="BO69" s="37" t="e">
        <v>#N/A</v>
      </c>
      <c r="BP69" s="37" t="e">
        <v>#N/A</v>
      </c>
      <c r="BQ69" s="41" t="s">
        <v>209</v>
      </c>
      <c r="BR69" s="41" t="s">
        <v>104</v>
      </c>
      <c r="BS69" s="41" t="s">
        <v>209</v>
      </c>
      <c r="BT69" s="41" t="s">
        <v>33</v>
      </c>
      <c r="BU69" s="41" t="b">
        <v>1</v>
      </c>
      <c r="BV69" s="41" t="b">
        <v>1</v>
      </c>
      <c r="BW69" s="41" t="b">
        <v>0</v>
      </c>
      <c r="BX69" s="41" t="b">
        <v>1</v>
      </c>
      <c r="BY69" s="41" t="b">
        <v>1</v>
      </c>
      <c r="BZ69" s="41" t="b">
        <v>0</v>
      </c>
      <c r="CA69" s="41" t="b">
        <v>0</v>
      </c>
      <c r="CB69" s="41" t="b">
        <v>1</v>
      </c>
      <c r="CC69" s="41" t="b">
        <v>0</v>
      </c>
      <c r="CD69" s="37" t="e">
        <v>#N/A</v>
      </c>
      <c r="CE69" s="41" t="b">
        <v>1</v>
      </c>
      <c r="CF69" s="41" t="b">
        <v>1</v>
      </c>
      <c r="CG69" s="41" t="b">
        <v>0</v>
      </c>
      <c r="CH69" s="41" t="b">
        <v>0</v>
      </c>
      <c r="CI69" s="41" t="b">
        <v>1</v>
      </c>
      <c r="CJ69" s="41" t="b">
        <v>1</v>
      </c>
      <c r="CK69" s="41" t="b">
        <v>1</v>
      </c>
      <c r="CL69" s="41" t="b">
        <v>0</v>
      </c>
      <c r="CM69" s="41" t="b">
        <v>0</v>
      </c>
      <c r="CN69" s="41" t="s">
        <v>211</v>
      </c>
      <c r="CO69" s="113" t="s">
        <v>1624</v>
      </c>
      <c r="CP69" s="41" t="s">
        <v>248</v>
      </c>
      <c r="CQ69" s="37" t="e">
        <v>#N/A</v>
      </c>
      <c r="CR69" s="41" t="s">
        <v>215</v>
      </c>
      <c r="CS69" s="37" t="e">
        <v>#N/A</v>
      </c>
      <c r="CT69" s="37" t="e">
        <v>#N/A</v>
      </c>
      <c r="CU69" s="37" t="e">
        <v>#N/A</v>
      </c>
      <c r="CV69" s="37" t="e">
        <v>#N/A</v>
      </c>
      <c r="CW69" s="41" t="s">
        <v>216</v>
      </c>
      <c r="CX69" s="41" t="b">
        <v>1</v>
      </c>
      <c r="CY69" s="41" t="b">
        <v>1</v>
      </c>
      <c r="CZ69" s="41" t="b">
        <v>1</v>
      </c>
      <c r="DA69" s="41" t="b">
        <v>0</v>
      </c>
      <c r="DB69" s="41" t="b">
        <v>1</v>
      </c>
      <c r="DC69" s="41" t="b">
        <v>1</v>
      </c>
      <c r="DD69" s="41" t="b">
        <v>1</v>
      </c>
      <c r="DE69" s="41" t="b">
        <v>1</v>
      </c>
      <c r="DF69" s="133" t="s">
        <v>1530</v>
      </c>
      <c r="DG69" s="41" t="s">
        <v>247</v>
      </c>
      <c r="DH69" s="41">
        <v>40664</v>
      </c>
      <c r="DI69" s="37" t="e">
        <v>#N/A</v>
      </c>
      <c r="DJ69" s="41">
        <v>40672</v>
      </c>
      <c r="DK69" s="41">
        <v>40672</v>
      </c>
      <c r="DL69" s="37" t="s">
        <v>246</v>
      </c>
      <c r="DM69" s="39" t="b">
        <f>OR(CE69=TRUE,CF69=TRUE,CG69=TRUE,CH69=TRUE,CI69=TRUE,CJ69=TRUE,CK69=TRUE,CL69=TRUE,CM69=TRUE)</f>
        <v>1</v>
      </c>
      <c r="DN69" s="38" t="str">
        <f t="shared" si="1"/>
        <v>9762_Indu_XXXX_ktion_XXX_XXX_bi_W</v>
      </c>
    </row>
    <row r="70" spans="1:118" ht="15.75" customHeight="1" x14ac:dyDescent="0.25">
      <c r="A70" s="37">
        <v>65</v>
      </c>
      <c r="C70" s="37">
        <v>1636</v>
      </c>
      <c r="D70" s="132" t="s">
        <v>766</v>
      </c>
      <c r="E70" s="57" t="s">
        <v>108</v>
      </c>
      <c r="F70" s="132" t="s">
        <v>765</v>
      </c>
      <c r="G70" s="132" t="s">
        <v>399</v>
      </c>
      <c r="H70" s="132">
        <v>95703</v>
      </c>
      <c r="I70" s="39" t="s">
        <v>114</v>
      </c>
      <c r="J70" s="132" t="s">
        <v>764</v>
      </c>
      <c r="K70" s="132" t="s">
        <v>763</v>
      </c>
      <c r="L70" s="132" t="s">
        <v>762</v>
      </c>
      <c r="M70" s="132" t="s">
        <v>761</v>
      </c>
      <c r="N70" s="132" t="s">
        <v>1531</v>
      </c>
      <c r="O70" s="132" t="s">
        <v>1532</v>
      </c>
      <c r="P70" s="132" t="s">
        <v>1533</v>
      </c>
      <c r="Q70" s="132" t="s">
        <v>1534</v>
      </c>
      <c r="R70" s="39" t="s">
        <v>118</v>
      </c>
      <c r="S70" s="39" t="s">
        <v>121</v>
      </c>
      <c r="T70" s="39" t="e">
        <v>#N/A</v>
      </c>
      <c r="U70" s="40" t="s">
        <v>132</v>
      </c>
      <c r="V70" s="39" t="e">
        <v>#N/A</v>
      </c>
      <c r="W70" s="39" t="e">
        <v>#N/A</v>
      </c>
      <c r="X70" s="39" t="e">
        <v>#N/A</v>
      </c>
      <c r="Y70" s="39" t="s">
        <v>760</v>
      </c>
      <c r="Z70" s="39" t="s">
        <v>148</v>
      </c>
      <c r="AA70" s="39" t="s">
        <v>156</v>
      </c>
      <c r="AB70" s="132" t="e">
        <v>#N/A</v>
      </c>
      <c r="AC70" s="132" t="e">
        <v>#N/A</v>
      </c>
      <c r="AD70" s="102" t="e">
        <v>#N/A</v>
      </c>
      <c r="AE70" s="102" t="e">
        <v>#N/A</v>
      </c>
      <c r="AF70" s="102" t="e">
        <v>#N/A</v>
      </c>
      <c r="AG70" s="102" t="e">
        <v>#N/A</v>
      </c>
      <c r="AH70" s="41" t="s">
        <v>161</v>
      </c>
      <c r="AI70" s="39" t="s">
        <v>178</v>
      </c>
      <c r="AJ70" s="39" t="s">
        <v>184</v>
      </c>
      <c r="AK70" s="39" t="e">
        <v>#N/A</v>
      </c>
      <c r="AL70" s="39" t="s">
        <v>187</v>
      </c>
      <c r="AM70" s="39" t="e">
        <v>#N/A</v>
      </c>
      <c r="AN70" s="39" t="b">
        <v>1</v>
      </c>
      <c r="AO70" s="39" t="b">
        <v>0</v>
      </c>
      <c r="AP70" s="39" t="b">
        <v>0</v>
      </c>
      <c r="AQ70" s="39" t="b">
        <v>0</v>
      </c>
      <c r="AR70" s="39" t="b">
        <v>0</v>
      </c>
      <c r="AS70" s="39" t="b">
        <v>0</v>
      </c>
      <c r="AT70" s="39" t="b">
        <v>0</v>
      </c>
      <c r="AU70" s="39" t="b">
        <v>0</v>
      </c>
      <c r="AV70" s="39" t="b">
        <v>0</v>
      </c>
      <c r="AW70" s="39" t="b">
        <v>0</v>
      </c>
      <c r="AX70" s="39" t="s">
        <v>195</v>
      </c>
      <c r="AY70" s="39" t="s">
        <v>196</v>
      </c>
      <c r="AZ70" s="39" t="s">
        <v>200</v>
      </c>
      <c r="BA70" s="39" t="s">
        <v>200</v>
      </c>
      <c r="BB70" s="39" t="s">
        <v>200</v>
      </c>
      <c r="BC70" s="39" t="s">
        <v>200</v>
      </c>
      <c r="BD70" s="39" t="s">
        <v>200</v>
      </c>
      <c r="BE70" s="39" t="s">
        <v>202</v>
      </c>
      <c r="BF70" s="37" t="e">
        <v>#N/A</v>
      </c>
      <c r="BG70" s="37" t="e">
        <v>#N/A</v>
      </c>
      <c r="BH70" s="39" t="s">
        <v>39</v>
      </c>
      <c r="BI70" s="39" t="e">
        <v>#N/A</v>
      </c>
      <c r="BJ70" s="37" t="e">
        <v>#N/A</v>
      </c>
      <c r="BK70" s="37" t="e">
        <v>#N/A</v>
      </c>
      <c r="BL70" s="37" t="e">
        <v>#N/A</v>
      </c>
      <c r="BM70" s="37" t="e">
        <v>#N/A</v>
      </c>
      <c r="BN70" s="37" t="e">
        <v>#N/A</v>
      </c>
      <c r="BO70" s="37" t="e">
        <v>#N/A</v>
      </c>
      <c r="BP70" s="37" t="e">
        <v>#N/A</v>
      </c>
      <c r="BQ70" s="39" t="s">
        <v>210</v>
      </c>
      <c r="BR70" s="39" t="s">
        <v>209</v>
      </c>
      <c r="BS70" s="39" t="s">
        <v>208</v>
      </c>
      <c r="BT70" s="39" t="s">
        <v>33</v>
      </c>
      <c r="BU70" s="39" t="b">
        <v>1</v>
      </c>
      <c r="BV70" s="39" t="b">
        <v>0</v>
      </c>
      <c r="BW70" s="39" t="b">
        <v>0</v>
      </c>
      <c r="BX70" s="39" t="b">
        <v>0</v>
      </c>
      <c r="BY70" s="39" t="b">
        <v>0</v>
      </c>
      <c r="BZ70" s="39" t="b">
        <v>0</v>
      </c>
      <c r="CA70" s="39" t="b">
        <v>0</v>
      </c>
      <c r="CB70" s="39" t="b">
        <v>0</v>
      </c>
      <c r="CC70" s="39" t="b">
        <v>0</v>
      </c>
      <c r="CD70" s="39" t="e">
        <v>#N/A</v>
      </c>
      <c r="CE70" s="39" t="b">
        <v>0</v>
      </c>
      <c r="CF70" s="39" t="b">
        <v>0</v>
      </c>
      <c r="CG70" s="39" t="b">
        <v>0</v>
      </c>
      <c r="CH70" s="39" t="b">
        <v>0</v>
      </c>
      <c r="CI70" s="39" t="b">
        <v>0</v>
      </c>
      <c r="CJ70" s="39" t="b">
        <v>0</v>
      </c>
      <c r="CK70" s="39" t="b">
        <v>0</v>
      </c>
      <c r="CL70" s="39" t="b">
        <v>0</v>
      </c>
      <c r="CM70" s="39" t="b">
        <v>0</v>
      </c>
      <c r="CN70" s="39" t="s">
        <v>33</v>
      </c>
      <c r="CO70" s="57" t="e">
        <v>#N/A</v>
      </c>
      <c r="CP70" s="39" t="e">
        <v>#N/A</v>
      </c>
      <c r="CQ70" s="39" t="e">
        <v>#N/A</v>
      </c>
      <c r="CR70" s="37" t="e">
        <v>#N/A</v>
      </c>
      <c r="CS70" s="37" t="e">
        <v>#N/A</v>
      </c>
      <c r="CT70" s="37" t="e">
        <v>#N/A</v>
      </c>
      <c r="CU70" s="37" t="e">
        <v>#N/A</v>
      </c>
      <c r="CV70" s="37" t="e">
        <v>#N/A</v>
      </c>
      <c r="CW70" s="37" t="e">
        <v>#N/A</v>
      </c>
      <c r="CX70" s="39" t="b">
        <v>0</v>
      </c>
      <c r="CY70" s="39" t="b">
        <v>1</v>
      </c>
      <c r="CZ70" s="39" t="b">
        <v>1</v>
      </c>
      <c r="DA70" s="39" t="b">
        <v>1</v>
      </c>
      <c r="DB70" s="39" t="b">
        <v>1</v>
      </c>
      <c r="DC70" s="39" t="b">
        <v>1</v>
      </c>
      <c r="DD70" s="39" t="b">
        <v>1</v>
      </c>
      <c r="DE70" s="39" t="b">
        <v>0</v>
      </c>
      <c r="DF70" s="132" t="s">
        <v>1535</v>
      </c>
      <c r="DG70" s="39" t="s">
        <v>392</v>
      </c>
      <c r="DH70" s="39">
        <v>40665</v>
      </c>
      <c r="DI70" s="37" t="e">
        <v>#N/A</v>
      </c>
      <c r="DJ70" s="39">
        <v>40676</v>
      </c>
      <c r="DK70" s="39">
        <v>40678</v>
      </c>
      <c r="DL70" s="39" t="s">
        <v>276</v>
      </c>
      <c r="DM70" s="39" t="b">
        <f t="shared" si="0"/>
        <v>0</v>
      </c>
      <c r="DN70" s="38" t="str">
        <f t="shared" si="1"/>
        <v>1636_Indu_Z 46_ktion_übe_200_bi_F</v>
      </c>
    </row>
    <row r="71" spans="1:118" ht="15.75" customHeight="1" x14ac:dyDescent="0.25">
      <c r="A71" s="37">
        <v>66</v>
      </c>
      <c r="C71" s="73">
        <v>8413</v>
      </c>
      <c r="D71" s="134" t="s">
        <v>1027</v>
      </c>
      <c r="E71" s="72" t="s">
        <v>109</v>
      </c>
      <c r="F71" s="134" t="s">
        <v>1028</v>
      </c>
      <c r="G71" s="134" t="s">
        <v>263</v>
      </c>
      <c r="H71" s="134">
        <v>92637</v>
      </c>
      <c r="I71" s="72" t="s">
        <v>114</v>
      </c>
      <c r="J71" s="134" t="s">
        <v>1029</v>
      </c>
      <c r="K71" s="134" t="s">
        <v>1030</v>
      </c>
      <c r="L71" s="134" t="s">
        <v>1031</v>
      </c>
      <c r="M71" s="134" t="s">
        <v>1032</v>
      </c>
      <c r="N71" s="134" t="s">
        <v>1536</v>
      </c>
      <c r="O71" s="134" t="s">
        <v>1537</v>
      </c>
      <c r="P71" s="134" t="s">
        <v>1029</v>
      </c>
      <c r="Q71" s="134" t="s">
        <v>1538</v>
      </c>
      <c r="R71" s="72" t="e">
        <v>#N/A</v>
      </c>
      <c r="S71" s="72" t="s">
        <v>119</v>
      </c>
      <c r="T71" s="72" t="s">
        <v>122</v>
      </c>
      <c r="U71" s="72" t="s">
        <v>133</v>
      </c>
      <c r="V71" s="72" t="e">
        <v>#N/A</v>
      </c>
      <c r="W71" s="72" t="e">
        <v>#N/A</v>
      </c>
      <c r="X71" s="72" t="e">
        <v>#N/A</v>
      </c>
      <c r="Y71" s="72" t="s">
        <v>1033</v>
      </c>
      <c r="Z71" s="72" t="s">
        <v>148</v>
      </c>
      <c r="AA71" s="72" t="s">
        <v>156</v>
      </c>
      <c r="AB71" s="102" t="e">
        <v>#N/A</v>
      </c>
      <c r="AC71" s="102" t="e">
        <v>#N/A</v>
      </c>
      <c r="AD71" s="102" t="e">
        <v>#N/A</v>
      </c>
      <c r="AE71" s="102" t="e">
        <v>#N/A</v>
      </c>
      <c r="AF71" s="102" t="e">
        <v>#N/A</v>
      </c>
      <c r="AG71" s="102" t="e">
        <v>#N/A</v>
      </c>
      <c r="AH71" s="41" t="s">
        <v>162</v>
      </c>
      <c r="AI71" s="72" t="s">
        <v>176</v>
      </c>
      <c r="AJ71" s="75" t="s">
        <v>180</v>
      </c>
      <c r="AK71" s="37" t="e">
        <v>#N/A</v>
      </c>
      <c r="AL71" s="72" t="s">
        <v>187</v>
      </c>
      <c r="AM71" s="37" t="e">
        <v>#N/A</v>
      </c>
      <c r="AN71" s="72" t="b">
        <v>0</v>
      </c>
      <c r="AO71" s="72" t="b">
        <v>0</v>
      </c>
      <c r="AP71" s="72" t="b">
        <v>0</v>
      </c>
      <c r="AQ71" s="72" t="b">
        <v>0</v>
      </c>
      <c r="AR71" s="72" t="b">
        <v>0</v>
      </c>
      <c r="AS71" s="72" t="b">
        <v>0</v>
      </c>
      <c r="AT71" s="72" t="b">
        <v>1</v>
      </c>
      <c r="AU71" s="72" t="b">
        <v>0</v>
      </c>
      <c r="AV71" s="72" t="b">
        <v>0</v>
      </c>
      <c r="AW71" s="72" t="b">
        <v>0</v>
      </c>
      <c r="AX71" s="72" t="s">
        <v>195</v>
      </c>
      <c r="AY71" s="72" t="s">
        <v>196</v>
      </c>
      <c r="AZ71" s="37" t="e">
        <v>#N/A</v>
      </c>
      <c r="BA71" s="37" t="e">
        <v>#N/A</v>
      </c>
      <c r="BB71" s="37" t="e">
        <v>#N/A</v>
      </c>
      <c r="BC71" s="37" t="e">
        <v>#N/A</v>
      </c>
      <c r="BD71" s="37" t="e">
        <v>#N/A</v>
      </c>
      <c r="BE71" s="72" t="s">
        <v>201</v>
      </c>
      <c r="BF71" s="37" t="e">
        <v>#N/A</v>
      </c>
      <c r="BG71" s="37" t="e">
        <v>#N/A</v>
      </c>
      <c r="BH71" s="37" t="e">
        <v>#N/A</v>
      </c>
      <c r="BI71" s="37" t="e">
        <v>#N/A</v>
      </c>
      <c r="BJ71" s="37" t="e">
        <v>#N/A</v>
      </c>
      <c r="BK71" s="37" t="e">
        <v>#N/A</v>
      </c>
      <c r="BL71" s="37" t="e">
        <v>#N/A</v>
      </c>
      <c r="BM71" s="37" t="e">
        <v>#N/A</v>
      </c>
      <c r="BN71" s="37" t="e">
        <v>#N/A</v>
      </c>
      <c r="BO71" s="37" t="e">
        <v>#N/A</v>
      </c>
      <c r="BP71" s="37" t="e">
        <v>#N/A</v>
      </c>
      <c r="BQ71" s="72" t="s">
        <v>209</v>
      </c>
      <c r="BR71" s="37" t="e">
        <v>#N/A</v>
      </c>
      <c r="BS71" s="37" t="e">
        <v>#N/A</v>
      </c>
      <c r="BT71" s="72" t="s">
        <v>39</v>
      </c>
      <c r="BU71" s="72" t="b">
        <v>0</v>
      </c>
      <c r="BV71" s="72" t="b">
        <v>0</v>
      </c>
      <c r="BW71" s="72" t="b">
        <v>0</v>
      </c>
      <c r="BX71" s="72" t="b">
        <v>0</v>
      </c>
      <c r="BY71" s="72" t="b">
        <v>0</v>
      </c>
      <c r="BZ71" s="72" t="b">
        <v>0</v>
      </c>
      <c r="CA71" s="72" t="b">
        <v>0</v>
      </c>
      <c r="CB71" s="72" t="b">
        <v>0</v>
      </c>
      <c r="CC71" s="72" t="b">
        <v>1</v>
      </c>
      <c r="CD71" s="37" t="e">
        <v>#N/A</v>
      </c>
      <c r="CE71" s="72" t="b">
        <v>0</v>
      </c>
      <c r="CF71" s="72" t="b">
        <v>0</v>
      </c>
      <c r="CG71" s="72" t="b">
        <v>0</v>
      </c>
      <c r="CH71" s="72" t="b">
        <v>0</v>
      </c>
      <c r="CI71" s="72" t="b">
        <v>0</v>
      </c>
      <c r="CJ71" s="72" t="b">
        <v>0</v>
      </c>
      <c r="CK71" s="72" t="b">
        <v>0</v>
      </c>
      <c r="CL71" s="72" t="b">
        <v>0</v>
      </c>
      <c r="CM71" s="72" t="b">
        <v>0</v>
      </c>
      <c r="CN71" s="72" t="s">
        <v>39</v>
      </c>
      <c r="CO71" s="58" t="e">
        <v>#N/A</v>
      </c>
      <c r="CP71" s="37" t="e">
        <v>#N/A</v>
      </c>
      <c r="CQ71" s="37" t="e">
        <v>#N/A</v>
      </c>
      <c r="CR71" s="37" t="e">
        <v>#N/A</v>
      </c>
      <c r="CS71" s="37" t="e">
        <v>#N/A</v>
      </c>
      <c r="CT71" s="37" t="e">
        <v>#N/A</v>
      </c>
      <c r="CU71" s="37" t="e">
        <v>#N/A</v>
      </c>
      <c r="CV71" s="37" t="e">
        <v>#N/A</v>
      </c>
      <c r="CW71" s="37" t="e">
        <v>#N/A</v>
      </c>
      <c r="CX71" s="72" t="b">
        <v>0</v>
      </c>
      <c r="CY71" s="72" t="b">
        <v>1</v>
      </c>
      <c r="CZ71" s="72" t="b">
        <v>1</v>
      </c>
      <c r="DA71" s="72" t="b">
        <v>1</v>
      </c>
      <c r="DB71" s="72" t="b">
        <v>1</v>
      </c>
      <c r="DC71" s="72" t="b">
        <v>1</v>
      </c>
      <c r="DD71" s="72" t="b">
        <v>1</v>
      </c>
      <c r="DE71" s="72" t="b">
        <v>1</v>
      </c>
      <c r="DF71" s="102" t="e">
        <v>#N/A</v>
      </c>
      <c r="DG71" s="72" t="s">
        <v>1034</v>
      </c>
      <c r="DH71" s="72">
        <v>40714</v>
      </c>
      <c r="DI71" s="72">
        <v>40714</v>
      </c>
      <c r="DJ71" s="72">
        <v>40686</v>
      </c>
      <c r="DK71" s="72">
        <v>40714</v>
      </c>
      <c r="DL71" s="104" t="s">
        <v>231</v>
      </c>
      <c r="DM71" s="39" t="b">
        <f t="shared" ref="DM71:DM134" si="2">OR(CE71=TRUE,CF71=TRUE,CG71=TRUE,CH71=TRUE,CI71=TRUE,CJ71=TRUE,CK71=TRUE,CL71=TRUE,CM71=TRUE)</f>
        <v>0</v>
      </c>
      <c r="DN71" s="38" t="str">
        <f t="shared" ref="DN71:DN94" si="3">IFERROR(C71,"XXXX")&amp;"_"&amp;IFERROR(MID(R71,1,4),"XXXX")&amp;"_"&amp;IFERROR(RIGHT(U71,4),"XXXX")&amp;"_"&amp;IFERROR(RIGHT(AH71,5),"XXXXX")&amp;"_"&amp;IFERROR(MID(AI71,1,3),"XXX")&amp;"_"&amp;IFERROR(MID(AJ71,1,3),"XXX")&amp;"_"&amp;IFERROR(MID(AL71,1,2),"XX")&amp;"_"&amp;MID(DM71,1,1)</f>
        <v>8413_XXXX_Z 47_andel_1 M_10 _bi_F</v>
      </c>
    </row>
    <row r="72" spans="1:118" ht="15.75" customHeight="1" x14ac:dyDescent="0.25">
      <c r="A72" s="37">
        <v>67</v>
      </c>
      <c r="C72" s="73">
        <v>9383</v>
      </c>
      <c r="D72" s="134" t="s">
        <v>1035</v>
      </c>
      <c r="E72" s="72" t="s">
        <v>110</v>
      </c>
      <c r="F72" s="134" t="s">
        <v>1036</v>
      </c>
      <c r="G72" s="134" t="s">
        <v>1037</v>
      </c>
      <c r="H72" s="134">
        <v>92712</v>
      </c>
      <c r="I72" s="72" t="s">
        <v>114</v>
      </c>
      <c r="J72" s="134" t="s">
        <v>1038</v>
      </c>
      <c r="K72" s="134" t="s">
        <v>1039</v>
      </c>
      <c r="L72" s="134" t="s">
        <v>1040</v>
      </c>
      <c r="M72" s="134" t="s">
        <v>1041</v>
      </c>
      <c r="N72" s="134" t="s">
        <v>1539</v>
      </c>
      <c r="O72" s="134" t="s">
        <v>1540</v>
      </c>
      <c r="P72" s="134" t="s">
        <v>1541</v>
      </c>
      <c r="Q72" s="134" t="s">
        <v>1542</v>
      </c>
      <c r="R72" s="72" t="s">
        <v>118</v>
      </c>
      <c r="S72" s="72" t="e">
        <v>#N/A</v>
      </c>
      <c r="T72" s="72" t="e">
        <v>#N/A</v>
      </c>
      <c r="U72" s="72" t="s">
        <v>128</v>
      </c>
      <c r="V72" s="72" t="e">
        <v>#N/A</v>
      </c>
      <c r="W72" s="72" t="e">
        <v>#N/A</v>
      </c>
      <c r="X72" s="72" t="e">
        <v>#N/A</v>
      </c>
      <c r="Y72" s="72" t="s">
        <v>1042</v>
      </c>
      <c r="Z72" s="72" t="s">
        <v>154</v>
      </c>
      <c r="AA72" s="72" t="s">
        <v>158</v>
      </c>
      <c r="AB72" s="134" t="s">
        <v>1543</v>
      </c>
      <c r="AC72" s="134" t="s">
        <v>1544</v>
      </c>
      <c r="AD72" s="134" t="s">
        <v>1545</v>
      </c>
      <c r="AE72" s="102" t="e">
        <v>#N/A</v>
      </c>
      <c r="AF72" s="102" t="e">
        <v>#N/A</v>
      </c>
      <c r="AG72" s="102" t="e">
        <v>#N/A</v>
      </c>
      <c r="AH72" s="41" t="s">
        <v>161</v>
      </c>
      <c r="AI72" s="72" t="s">
        <v>178</v>
      </c>
      <c r="AJ72" s="72" t="s">
        <v>185</v>
      </c>
      <c r="AK72" s="72">
        <v>820</v>
      </c>
      <c r="AL72" s="72" t="s">
        <v>188</v>
      </c>
      <c r="AM72" s="72">
        <v>83</v>
      </c>
      <c r="AN72" s="72" t="b">
        <v>1</v>
      </c>
      <c r="AO72" s="72" t="b">
        <v>1</v>
      </c>
      <c r="AP72" s="72" t="b">
        <v>0</v>
      </c>
      <c r="AQ72" s="72" t="b">
        <v>0</v>
      </c>
      <c r="AR72" s="72" t="b">
        <v>0</v>
      </c>
      <c r="AS72" s="72" t="b">
        <v>1</v>
      </c>
      <c r="AT72" s="72" t="b">
        <v>0</v>
      </c>
      <c r="AU72" s="72" t="b">
        <v>0</v>
      </c>
      <c r="AV72" s="72" t="b">
        <v>0</v>
      </c>
      <c r="AW72" s="72" t="b">
        <v>0</v>
      </c>
      <c r="AX72" s="72" t="s">
        <v>195</v>
      </c>
      <c r="AY72" s="37" t="e">
        <v>#N/A</v>
      </c>
      <c r="AZ72" s="37" t="e">
        <v>#N/A</v>
      </c>
      <c r="BA72" s="37" t="e">
        <v>#N/A</v>
      </c>
      <c r="BB72" s="37" t="e">
        <v>#N/A</v>
      </c>
      <c r="BC72" s="37" t="e">
        <v>#N/A</v>
      </c>
      <c r="BD72" s="37" t="e">
        <v>#N/A</v>
      </c>
      <c r="BE72" s="72" t="s">
        <v>202</v>
      </c>
      <c r="BF72" s="37" t="e">
        <v>#N/A</v>
      </c>
      <c r="BG72" s="37" t="e">
        <v>#N/A</v>
      </c>
      <c r="BH72" s="72" t="s">
        <v>33</v>
      </c>
      <c r="BI72" s="72" t="s">
        <v>206</v>
      </c>
      <c r="BJ72" s="37" t="e">
        <v>#N/A</v>
      </c>
      <c r="BK72" s="37" t="e">
        <v>#N/A</v>
      </c>
      <c r="BL72" s="72" t="s">
        <v>33</v>
      </c>
      <c r="BM72" s="72" t="s">
        <v>207</v>
      </c>
      <c r="BN72" s="37" t="e">
        <v>#N/A</v>
      </c>
      <c r="BO72" s="37" t="e">
        <v>#N/A</v>
      </c>
      <c r="BP72" s="72" t="s">
        <v>33</v>
      </c>
      <c r="BQ72" s="72" t="s">
        <v>209</v>
      </c>
      <c r="BR72" s="72" t="s">
        <v>104</v>
      </c>
      <c r="BS72" s="72" t="s">
        <v>208</v>
      </c>
      <c r="BT72" s="72" t="s">
        <v>33</v>
      </c>
      <c r="BU72" s="72" t="b">
        <v>1</v>
      </c>
      <c r="BV72" s="72" t="b">
        <v>1</v>
      </c>
      <c r="BW72" s="72" t="b">
        <v>1</v>
      </c>
      <c r="BX72" s="72" t="b">
        <v>1</v>
      </c>
      <c r="BY72" s="72" t="b">
        <v>0</v>
      </c>
      <c r="BZ72" s="72" t="b">
        <v>0</v>
      </c>
      <c r="CA72" s="72" t="b">
        <v>0</v>
      </c>
      <c r="CB72" s="72" t="b">
        <v>0</v>
      </c>
      <c r="CC72" s="72" t="b">
        <v>0</v>
      </c>
      <c r="CD72" s="37" t="e">
        <v>#N/A</v>
      </c>
      <c r="CE72" s="72" t="b">
        <v>0</v>
      </c>
      <c r="CF72" s="72" t="b">
        <v>0</v>
      </c>
      <c r="CG72" s="72" t="b">
        <v>0</v>
      </c>
      <c r="CH72" s="72" t="b">
        <v>0</v>
      </c>
      <c r="CI72" s="72" t="b">
        <v>0</v>
      </c>
      <c r="CJ72" s="72" t="b">
        <v>0</v>
      </c>
      <c r="CK72" s="72" t="b">
        <v>1</v>
      </c>
      <c r="CL72" s="72" t="b">
        <v>1</v>
      </c>
      <c r="CM72" s="72" t="b">
        <v>0</v>
      </c>
      <c r="CN72" s="72" t="s">
        <v>39</v>
      </c>
      <c r="CO72" s="58" t="e">
        <v>#N/A</v>
      </c>
      <c r="CP72" s="37" t="e">
        <v>#N/A</v>
      </c>
      <c r="CQ72" s="37" t="e">
        <v>#N/A</v>
      </c>
      <c r="CR72" s="37" t="e">
        <v>#N/A</v>
      </c>
      <c r="CS72" s="37" t="e">
        <v>#N/A</v>
      </c>
      <c r="CT72" s="37" t="e">
        <v>#N/A</v>
      </c>
      <c r="CU72" s="37" t="e">
        <v>#N/A</v>
      </c>
      <c r="CV72" s="37" t="e">
        <v>#N/A</v>
      </c>
      <c r="CW72" s="37" t="e">
        <v>#N/A</v>
      </c>
      <c r="CX72" s="72" t="b">
        <v>1</v>
      </c>
      <c r="CY72" s="72" t="b">
        <v>1</v>
      </c>
      <c r="CZ72" s="72" t="b">
        <v>1</v>
      </c>
      <c r="DA72" s="72" t="b">
        <v>0</v>
      </c>
      <c r="DB72" s="72" t="b">
        <v>0</v>
      </c>
      <c r="DC72" s="72" t="b">
        <v>0</v>
      </c>
      <c r="DD72" s="72" t="b">
        <v>0</v>
      </c>
      <c r="DE72" s="72" t="b">
        <v>0</v>
      </c>
      <c r="DF72" s="134" t="s">
        <v>1546</v>
      </c>
      <c r="DG72" s="72" t="s">
        <v>1043</v>
      </c>
      <c r="DH72" s="72">
        <v>40717</v>
      </c>
      <c r="DI72" s="72">
        <v>40717</v>
      </c>
      <c r="DJ72" s="72">
        <v>40703</v>
      </c>
      <c r="DK72" s="72">
        <v>40717</v>
      </c>
      <c r="DL72" s="104" t="s">
        <v>231</v>
      </c>
      <c r="DM72" s="39" t="b">
        <f t="shared" si="2"/>
        <v>1</v>
      </c>
      <c r="DN72" s="38" t="str">
        <f t="shared" si="3"/>
        <v>9383_Indu_Z 25_ktion_übe_500_10_W</v>
      </c>
    </row>
    <row r="73" spans="1:118" ht="15.75" customHeight="1" x14ac:dyDescent="0.25">
      <c r="A73" s="37">
        <v>68</v>
      </c>
      <c r="C73" s="73">
        <v>7628</v>
      </c>
      <c r="D73" s="134" t="s">
        <v>1044</v>
      </c>
      <c r="E73" s="72" t="s">
        <v>109</v>
      </c>
      <c r="F73" s="134" t="s">
        <v>1045</v>
      </c>
      <c r="G73" s="134" t="s">
        <v>361</v>
      </c>
      <c r="H73" s="134">
        <v>92693</v>
      </c>
      <c r="I73" s="72" t="s">
        <v>114</v>
      </c>
      <c r="J73" s="134" t="s">
        <v>1046</v>
      </c>
      <c r="K73" s="134" t="s">
        <v>1047</v>
      </c>
      <c r="L73" s="134" t="s">
        <v>1048</v>
      </c>
      <c r="M73" s="134" t="s">
        <v>1049</v>
      </c>
      <c r="N73" s="134" t="s">
        <v>1547</v>
      </c>
      <c r="O73" s="134" t="s">
        <v>1547</v>
      </c>
      <c r="P73" s="134" t="s">
        <v>1046</v>
      </c>
      <c r="Q73" s="134" t="s">
        <v>1048</v>
      </c>
      <c r="R73" s="72" t="s">
        <v>118</v>
      </c>
      <c r="S73" s="72" t="e">
        <v>#N/A</v>
      </c>
      <c r="T73" s="72" t="e">
        <v>#N/A</v>
      </c>
      <c r="U73" s="72" t="s">
        <v>128</v>
      </c>
      <c r="V73" s="72" t="e">
        <v>#N/A</v>
      </c>
      <c r="W73" s="72" t="e">
        <v>#N/A</v>
      </c>
      <c r="X73" s="72" t="e">
        <v>#N/A</v>
      </c>
      <c r="Y73" s="72" t="s">
        <v>1050</v>
      </c>
      <c r="Z73" s="72" t="s">
        <v>148</v>
      </c>
      <c r="AA73" s="72" t="s">
        <v>156</v>
      </c>
      <c r="AB73" s="102" t="e">
        <v>#N/A</v>
      </c>
      <c r="AC73" s="102" t="e">
        <v>#N/A</v>
      </c>
      <c r="AD73" s="102" t="e">
        <v>#N/A</v>
      </c>
      <c r="AE73" s="102" t="e">
        <v>#N/A</v>
      </c>
      <c r="AF73" s="102" t="e">
        <v>#N/A</v>
      </c>
      <c r="AG73" s="102" t="e">
        <v>#N/A</v>
      </c>
      <c r="AH73" s="41" t="s">
        <v>161</v>
      </c>
      <c r="AI73" s="72" t="s">
        <v>177</v>
      </c>
      <c r="AJ73" s="72" t="s">
        <v>181</v>
      </c>
      <c r="AK73" s="37" t="e">
        <v>#N/A</v>
      </c>
      <c r="AL73" s="72" t="s">
        <v>188</v>
      </c>
      <c r="AM73" s="37" t="e">
        <v>#N/A</v>
      </c>
      <c r="AN73" s="72" t="b">
        <v>0</v>
      </c>
      <c r="AO73" s="72" t="b">
        <v>0</v>
      </c>
      <c r="AP73" s="72" t="b">
        <v>0</v>
      </c>
      <c r="AQ73" s="72" t="b">
        <v>0</v>
      </c>
      <c r="AR73" s="72" t="b">
        <v>0</v>
      </c>
      <c r="AS73" s="72" t="b">
        <v>0</v>
      </c>
      <c r="AT73" s="72" t="b">
        <v>1</v>
      </c>
      <c r="AU73" s="72" t="b">
        <v>1</v>
      </c>
      <c r="AV73" s="72" t="b">
        <v>0</v>
      </c>
      <c r="AW73" s="72" t="b">
        <v>0</v>
      </c>
      <c r="AX73" s="72" t="s">
        <v>194</v>
      </c>
      <c r="AY73" s="72" t="s">
        <v>196</v>
      </c>
      <c r="AZ73" s="72" t="s">
        <v>199</v>
      </c>
      <c r="BA73" s="72" t="s">
        <v>196</v>
      </c>
      <c r="BB73" s="72" t="s">
        <v>196</v>
      </c>
      <c r="BC73" s="72" t="s">
        <v>196</v>
      </c>
      <c r="BD73" s="72" t="s">
        <v>199</v>
      </c>
      <c r="BE73" s="72" t="s">
        <v>202</v>
      </c>
      <c r="BF73" s="37" t="e">
        <v>#N/A</v>
      </c>
      <c r="BG73" s="37" t="e">
        <v>#N/A</v>
      </c>
      <c r="BH73" s="37" t="e">
        <v>#N/A</v>
      </c>
      <c r="BI73" s="37" t="e">
        <v>#N/A</v>
      </c>
      <c r="BJ73" s="37" t="e">
        <v>#N/A</v>
      </c>
      <c r="BK73" s="37" t="e">
        <v>#N/A</v>
      </c>
      <c r="BL73" s="37" t="e">
        <v>#N/A</v>
      </c>
      <c r="BM73" s="37" t="e">
        <v>#N/A</v>
      </c>
      <c r="BN73" s="37" t="e">
        <v>#N/A</v>
      </c>
      <c r="BO73" s="37" t="e">
        <v>#N/A</v>
      </c>
      <c r="BP73" s="37" t="e">
        <v>#N/A</v>
      </c>
      <c r="BQ73" s="72" t="s">
        <v>209</v>
      </c>
      <c r="BR73" s="72" t="s">
        <v>104</v>
      </c>
      <c r="BS73" s="72" t="s">
        <v>208</v>
      </c>
      <c r="BT73" s="72" t="s">
        <v>39</v>
      </c>
      <c r="BU73" s="72" t="b">
        <v>0</v>
      </c>
      <c r="BV73" s="72" t="b">
        <v>0</v>
      </c>
      <c r="BW73" s="72" t="b">
        <v>0</v>
      </c>
      <c r="BX73" s="72" t="b">
        <v>0</v>
      </c>
      <c r="BY73" s="72" t="b">
        <v>0</v>
      </c>
      <c r="BZ73" s="72" t="b">
        <v>0</v>
      </c>
      <c r="CA73" s="72" t="b">
        <v>0</v>
      </c>
      <c r="CB73" s="72" t="b">
        <v>0</v>
      </c>
      <c r="CC73" s="72" t="b">
        <v>1</v>
      </c>
      <c r="CD73" s="72" t="s">
        <v>1051</v>
      </c>
      <c r="CE73" s="72" t="b">
        <v>0</v>
      </c>
      <c r="CF73" s="72" t="b">
        <v>0</v>
      </c>
      <c r="CG73" s="72" t="b">
        <v>0</v>
      </c>
      <c r="CH73" s="72" t="b">
        <v>0</v>
      </c>
      <c r="CI73" s="72" t="b">
        <v>0</v>
      </c>
      <c r="CJ73" s="72" t="b">
        <v>0</v>
      </c>
      <c r="CK73" s="72" t="b">
        <v>0</v>
      </c>
      <c r="CL73" s="72" t="b">
        <v>1</v>
      </c>
      <c r="CM73" s="72" t="b">
        <v>0</v>
      </c>
      <c r="CN73" s="72" t="s">
        <v>211</v>
      </c>
      <c r="CO73" s="75" t="s">
        <v>213</v>
      </c>
      <c r="CP73" s="37" t="e">
        <v>#N/A</v>
      </c>
      <c r="CQ73" s="37" t="e">
        <v>#N/A</v>
      </c>
      <c r="CR73" s="72" t="s">
        <v>215</v>
      </c>
      <c r="CS73" s="37" t="e">
        <v>#N/A</v>
      </c>
      <c r="CT73" s="37" t="e">
        <v>#N/A</v>
      </c>
      <c r="CU73" s="37" t="e">
        <v>#N/A</v>
      </c>
      <c r="CV73" s="37" t="e">
        <v>#N/A</v>
      </c>
      <c r="CW73" s="72" t="s">
        <v>39</v>
      </c>
      <c r="CX73" s="72" t="b">
        <v>0</v>
      </c>
      <c r="CY73" s="72" t="b">
        <v>0</v>
      </c>
      <c r="CZ73" s="72" t="b">
        <v>0</v>
      </c>
      <c r="DA73" s="72" t="b">
        <v>0</v>
      </c>
      <c r="DB73" s="72" t="b">
        <v>1</v>
      </c>
      <c r="DC73" s="72" t="b">
        <v>1</v>
      </c>
      <c r="DD73" s="72" t="b">
        <v>0</v>
      </c>
      <c r="DE73" s="72" t="b">
        <v>0</v>
      </c>
      <c r="DF73" s="134" t="s">
        <v>1548</v>
      </c>
      <c r="DG73" s="72" t="s">
        <v>1034</v>
      </c>
      <c r="DH73" s="72">
        <v>40714</v>
      </c>
      <c r="DI73" s="72">
        <v>40714</v>
      </c>
      <c r="DJ73" s="72">
        <v>40660</v>
      </c>
      <c r="DK73" s="72">
        <v>40714</v>
      </c>
      <c r="DL73" s="104" t="s">
        <v>231</v>
      </c>
      <c r="DM73" s="39" t="b">
        <f t="shared" si="2"/>
        <v>1</v>
      </c>
      <c r="DN73" s="38" t="str">
        <f t="shared" si="3"/>
        <v>7628_Indu_Z 25_ktion_5 M_20 _10_W</v>
      </c>
    </row>
    <row r="74" spans="1:118" x14ac:dyDescent="0.25">
      <c r="A74" s="37">
        <v>69</v>
      </c>
      <c r="C74" s="73">
        <v>8702</v>
      </c>
      <c r="D74" s="134" t="s">
        <v>1052</v>
      </c>
      <c r="E74" s="72" t="s">
        <v>111</v>
      </c>
      <c r="F74" s="134" t="s">
        <v>1053</v>
      </c>
      <c r="G74" s="134" t="s">
        <v>263</v>
      </c>
      <c r="H74" s="134">
        <v>92637</v>
      </c>
      <c r="I74" s="72" t="s">
        <v>114</v>
      </c>
      <c r="J74" s="134" t="s">
        <v>1054</v>
      </c>
      <c r="K74" s="134" t="s">
        <v>1055</v>
      </c>
      <c r="L74" s="134" t="s">
        <v>1056</v>
      </c>
      <c r="M74" s="134" t="s">
        <v>1057</v>
      </c>
      <c r="N74" s="134" t="s">
        <v>1549</v>
      </c>
      <c r="O74" s="134" t="s">
        <v>1550</v>
      </c>
      <c r="P74" s="134" t="s">
        <v>1551</v>
      </c>
      <c r="Q74" s="134" t="s">
        <v>1552</v>
      </c>
      <c r="R74" s="72" t="s">
        <v>121</v>
      </c>
      <c r="S74" s="72" t="s">
        <v>122</v>
      </c>
      <c r="T74" s="72" t="s">
        <v>123</v>
      </c>
      <c r="U74" s="72" t="s">
        <v>132</v>
      </c>
      <c r="V74" s="72" t="s">
        <v>133</v>
      </c>
      <c r="W74" s="72" t="e">
        <v>#N/A</v>
      </c>
      <c r="X74" s="72" t="e">
        <v>#N/A</v>
      </c>
      <c r="Y74" s="72" t="s">
        <v>1058</v>
      </c>
      <c r="Z74" s="37" t="e">
        <v>#N/A</v>
      </c>
      <c r="AA74" s="72" t="s">
        <v>158</v>
      </c>
      <c r="AB74" s="134" t="s">
        <v>1052</v>
      </c>
      <c r="AC74" s="134" t="s">
        <v>1053</v>
      </c>
      <c r="AD74" s="134">
        <v>92637</v>
      </c>
      <c r="AE74" s="134" t="s">
        <v>159</v>
      </c>
      <c r="AF74" s="134" t="s">
        <v>1553</v>
      </c>
      <c r="AG74" s="134">
        <v>92637</v>
      </c>
      <c r="AH74" s="41" t="s">
        <v>162</v>
      </c>
      <c r="AI74" s="72" t="s">
        <v>177</v>
      </c>
      <c r="AJ74" s="72" t="s">
        <v>183</v>
      </c>
      <c r="AK74" s="72">
        <v>186</v>
      </c>
      <c r="AL74" s="72" t="s">
        <v>188</v>
      </c>
      <c r="AM74" s="72">
        <v>33</v>
      </c>
      <c r="AN74" s="72" t="b">
        <v>1</v>
      </c>
      <c r="AO74" s="72" t="b">
        <v>1</v>
      </c>
      <c r="AP74" s="72" t="b">
        <v>0</v>
      </c>
      <c r="AQ74" s="72" t="b">
        <v>0</v>
      </c>
      <c r="AR74" s="72" t="b">
        <v>1</v>
      </c>
      <c r="AS74" s="72" t="b">
        <v>0</v>
      </c>
      <c r="AT74" s="72" t="b">
        <v>0</v>
      </c>
      <c r="AU74" s="72" t="b">
        <v>0</v>
      </c>
      <c r="AV74" s="72" t="b">
        <v>0</v>
      </c>
      <c r="AW74" s="72" t="b">
        <v>0</v>
      </c>
      <c r="AX74" s="72" t="s">
        <v>194</v>
      </c>
      <c r="AY74" s="72" t="s">
        <v>196</v>
      </c>
      <c r="AZ74" s="72" t="s">
        <v>196</v>
      </c>
      <c r="BA74" s="72" t="s">
        <v>200</v>
      </c>
      <c r="BB74" s="72" t="s">
        <v>200</v>
      </c>
      <c r="BC74" s="72" t="s">
        <v>196</v>
      </c>
      <c r="BD74" s="72" t="s">
        <v>200</v>
      </c>
      <c r="BE74" s="72" t="s">
        <v>201</v>
      </c>
      <c r="BF74" s="72" t="s">
        <v>1059</v>
      </c>
      <c r="BG74" s="72" t="s">
        <v>1060</v>
      </c>
      <c r="BH74" s="72" t="s">
        <v>33</v>
      </c>
      <c r="BI74" s="72" t="s">
        <v>206</v>
      </c>
      <c r="BJ74" s="72" t="s">
        <v>1061</v>
      </c>
      <c r="BK74" s="72" t="s">
        <v>1062</v>
      </c>
      <c r="BL74" s="72" t="s">
        <v>33</v>
      </c>
      <c r="BM74" s="72" t="s">
        <v>207</v>
      </c>
      <c r="BN74" s="37" t="e">
        <v>#N/A</v>
      </c>
      <c r="BO74" s="72" t="s">
        <v>1063</v>
      </c>
      <c r="BP74" s="72" t="s">
        <v>33</v>
      </c>
      <c r="BQ74" s="72" t="s">
        <v>209</v>
      </c>
      <c r="BR74" s="72" t="s">
        <v>104</v>
      </c>
      <c r="BS74" s="72" t="s">
        <v>209</v>
      </c>
      <c r="BT74" s="72" t="s">
        <v>39</v>
      </c>
      <c r="BU74" s="72" t="b">
        <v>0</v>
      </c>
      <c r="BV74" s="72" t="b">
        <v>0</v>
      </c>
      <c r="BW74" s="72" t="b">
        <v>0</v>
      </c>
      <c r="BX74" s="72" t="b">
        <v>0</v>
      </c>
      <c r="BY74" s="72" t="b">
        <v>0</v>
      </c>
      <c r="BZ74" s="72" t="b">
        <v>0</v>
      </c>
      <c r="CA74" s="72" t="b">
        <v>0</v>
      </c>
      <c r="CB74" s="72" t="b">
        <v>0</v>
      </c>
      <c r="CC74" s="72" t="b">
        <v>1</v>
      </c>
      <c r="CD74" s="37" t="e">
        <v>#N/A</v>
      </c>
      <c r="CE74" s="72" t="b">
        <v>1</v>
      </c>
      <c r="CF74" s="72" t="b">
        <v>1</v>
      </c>
      <c r="CG74" s="72" t="b">
        <v>0</v>
      </c>
      <c r="CH74" s="72" t="b">
        <v>1</v>
      </c>
      <c r="CI74" s="72" t="b">
        <v>0</v>
      </c>
      <c r="CJ74" s="72" t="b">
        <v>0</v>
      </c>
      <c r="CK74" s="72" t="b">
        <v>0</v>
      </c>
      <c r="CL74" s="72" t="b">
        <v>1</v>
      </c>
      <c r="CM74" s="72" t="b">
        <v>0</v>
      </c>
      <c r="CN74" s="72" t="s">
        <v>211</v>
      </c>
      <c r="CO74" s="75" t="s">
        <v>212</v>
      </c>
      <c r="CP74" s="37" t="e">
        <v>#N/A</v>
      </c>
      <c r="CQ74" s="37" t="e">
        <v>#N/A</v>
      </c>
      <c r="CR74" s="72" t="s">
        <v>215</v>
      </c>
      <c r="CS74" s="37" t="e">
        <v>#N/A</v>
      </c>
      <c r="CT74" s="37" t="e">
        <v>#N/A</v>
      </c>
      <c r="CU74" s="37" t="e">
        <v>#N/A</v>
      </c>
      <c r="CV74" s="37" t="e">
        <v>#N/A</v>
      </c>
      <c r="CW74" s="72" t="s">
        <v>219</v>
      </c>
      <c r="CX74" s="72" t="b">
        <v>0</v>
      </c>
      <c r="CY74" s="72" t="b">
        <v>0</v>
      </c>
      <c r="CZ74" s="72" t="b">
        <v>0</v>
      </c>
      <c r="DA74" s="72" t="b">
        <v>0</v>
      </c>
      <c r="DB74" s="72" t="b">
        <v>1</v>
      </c>
      <c r="DC74" s="72" t="b">
        <v>1</v>
      </c>
      <c r="DD74" s="72" t="b">
        <v>1</v>
      </c>
      <c r="DE74" s="72" t="b">
        <v>0</v>
      </c>
      <c r="DF74" s="134" t="s">
        <v>1554</v>
      </c>
      <c r="DG74" s="72" t="s">
        <v>1043</v>
      </c>
      <c r="DH74" s="72">
        <v>40717</v>
      </c>
      <c r="DI74" s="72">
        <v>40717</v>
      </c>
      <c r="DJ74" s="72">
        <v>40709</v>
      </c>
      <c r="DK74" s="72">
        <v>40717</v>
      </c>
      <c r="DL74" s="104" t="s">
        <v>231</v>
      </c>
      <c r="DM74" s="39" t="b">
        <f t="shared" si="2"/>
        <v>1</v>
      </c>
      <c r="DN74" s="38" t="str">
        <f t="shared" si="3"/>
        <v>8702_Groß_Z 46_andel_5 M_100_10_W</v>
      </c>
    </row>
    <row r="75" spans="1:118" ht="15.75" customHeight="1" x14ac:dyDescent="0.25">
      <c r="A75" s="37">
        <v>70</v>
      </c>
      <c r="C75" s="73">
        <v>1518</v>
      </c>
      <c r="D75" s="134" t="s">
        <v>1064</v>
      </c>
      <c r="E75" s="72" t="s">
        <v>106</v>
      </c>
      <c r="F75" s="134" t="s">
        <v>1065</v>
      </c>
      <c r="G75" s="134" t="s">
        <v>361</v>
      </c>
      <c r="H75" s="134">
        <v>92693</v>
      </c>
      <c r="I75" s="72" t="s">
        <v>114</v>
      </c>
      <c r="J75" s="134" t="s">
        <v>1555</v>
      </c>
      <c r="K75" s="134" t="s">
        <v>1066</v>
      </c>
      <c r="L75" s="134" t="s">
        <v>1067</v>
      </c>
      <c r="M75" s="134" t="e">
        <v>#N/A</v>
      </c>
      <c r="N75" s="134" t="s">
        <v>1556</v>
      </c>
      <c r="O75" s="134" t="s">
        <v>1557</v>
      </c>
      <c r="P75" s="134" t="s">
        <v>1558</v>
      </c>
      <c r="Q75" s="134" t="s">
        <v>1067</v>
      </c>
      <c r="R75" s="72" t="s">
        <v>120</v>
      </c>
      <c r="S75" s="72" t="s">
        <v>121</v>
      </c>
      <c r="T75" s="72" t="e">
        <v>#N/A</v>
      </c>
      <c r="U75" s="72" t="s">
        <v>137</v>
      </c>
      <c r="V75" s="72" t="s">
        <v>132</v>
      </c>
      <c r="W75" s="72" t="s">
        <v>145</v>
      </c>
      <c r="X75" s="72" t="e">
        <v>#N/A</v>
      </c>
      <c r="Y75" s="72" t="s">
        <v>1068</v>
      </c>
      <c r="Z75" s="72" t="s">
        <v>149</v>
      </c>
      <c r="AA75" s="72" t="s">
        <v>156</v>
      </c>
      <c r="AB75" s="102" t="e">
        <v>#N/A</v>
      </c>
      <c r="AC75" s="102" t="e">
        <v>#N/A</v>
      </c>
      <c r="AD75" s="102" t="e">
        <v>#N/A</v>
      </c>
      <c r="AE75" s="102" t="e">
        <v>#N/A</v>
      </c>
      <c r="AF75" s="102" t="e">
        <v>#N/A</v>
      </c>
      <c r="AG75" s="102" t="e">
        <v>#N/A</v>
      </c>
      <c r="AH75" s="41" t="s">
        <v>163</v>
      </c>
      <c r="AI75" s="72" t="s">
        <v>176</v>
      </c>
      <c r="AJ75" s="75" t="s">
        <v>180</v>
      </c>
      <c r="AK75" s="37" t="e">
        <v>#N/A</v>
      </c>
      <c r="AL75" s="72" t="s">
        <v>192</v>
      </c>
      <c r="AM75" s="37" t="e">
        <v>#N/A</v>
      </c>
      <c r="AN75" s="72" t="b">
        <v>1</v>
      </c>
      <c r="AO75" s="72" t="b">
        <v>1</v>
      </c>
      <c r="AP75" s="72" t="b">
        <v>0</v>
      </c>
      <c r="AQ75" s="72" t="b">
        <v>0</v>
      </c>
      <c r="AR75" s="72" t="b">
        <v>0</v>
      </c>
      <c r="AS75" s="72" t="b">
        <v>0</v>
      </c>
      <c r="AT75" s="72" t="b">
        <v>0</v>
      </c>
      <c r="AU75" s="72" t="b">
        <v>0</v>
      </c>
      <c r="AV75" s="72" t="b">
        <v>0</v>
      </c>
      <c r="AW75" s="72" t="b">
        <v>0</v>
      </c>
      <c r="AX75" s="72" t="s">
        <v>194</v>
      </c>
      <c r="AY75" s="72" t="s">
        <v>196</v>
      </c>
      <c r="AZ75" s="72" t="s">
        <v>198</v>
      </c>
      <c r="BA75" s="72" t="s">
        <v>198</v>
      </c>
      <c r="BB75" s="72" t="s">
        <v>199</v>
      </c>
      <c r="BC75" s="72" t="s">
        <v>199</v>
      </c>
      <c r="BD75" s="72" t="s">
        <v>199</v>
      </c>
      <c r="BE75" s="72" t="s">
        <v>202</v>
      </c>
      <c r="BF75" s="37" t="e">
        <v>#N/A</v>
      </c>
      <c r="BG75" s="37" t="e">
        <v>#N/A</v>
      </c>
      <c r="BH75" s="37" t="e">
        <v>#N/A</v>
      </c>
      <c r="BI75" s="37" t="e">
        <v>#N/A</v>
      </c>
      <c r="BJ75" s="37" t="e">
        <v>#N/A</v>
      </c>
      <c r="BK75" s="37" t="e">
        <v>#N/A</v>
      </c>
      <c r="BL75" s="37" t="e">
        <v>#N/A</v>
      </c>
      <c r="BM75" s="37" t="e">
        <v>#N/A</v>
      </c>
      <c r="BN75" s="37" t="e">
        <v>#N/A</v>
      </c>
      <c r="BO75" s="37" t="e">
        <v>#N/A</v>
      </c>
      <c r="BP75" s="37" t="e">
        <v>#N/A</v>
      </c>
      <c r="BQ75" s="72" t="s">
        <v>210</v>
      </c>
      <c r="BR75" s="72" t="s">
        <v>104</v>
      </c>
      <c r="BS75" s="72" t="s">
        <v>104</v>
      </c>
      <c r="BT75" s="72" t="s">
        <v>39</v>
      </c>
      <c r="BU75" s="72" t="b">
        <v>0</v>
      </c>
      <c r="BV75" s="72" t="b">
        <v>0</v>
      </c>
      <c r="BW75" s="72" t="b">
        <v>0</v>
      </c>
      <c r="BX75" s="72" t="b">
        <v>0</v>
      </c>
      <c r="BY75" s="72" t="b">
        <v>0</v>
      </c>
      <c r="BZ75" s="72" t="b">
        <v>0</v>
      </c>
      <c r="CA75" s="72" t="b">
        <v>0</v>
      </c>
      <c r="CB75" s="72" t="b">
        <v>0</v>
      </c>
      <c r="CC75" s="72" t="b">
        <v>1</v>
      </c>
      <c r="CD75" s="72" t="s">
        <v>1069</v>
      </c>
      <c r="CE75" s="72" t="b">
        <v>0</v>
      </c>
      <c r="CF75" s="72" t="b">
        <v>0</v>
      </c>
      <c r="CG75" s="72" t="b">
        <v>0</v>
      </c>
      <c r="CH75" s="72" t="b">
        <v>0</v>
      </c>
      <c r="CI75" s="72" t="b">
        <v>0</v>
      </c>
      <c r="CJ75" s="72" t="b">
        <v>0</v>
      </c>
      <c r="CK75" s="72" t="b">
        <v>0</v>
      </c>
      <c r="CL75" s="72" t="b">
        <v>0</v>
      </c>
      <c r="CM75" s="72" t="b">
        <v>1</v>
      </c>
      <c r="CN75" s="72" t="s">
        <v>211</v>
      </c>
      <c r="CO75" s="75" t="s">
        <v>212</v>
      </c>
      <c r="CP75" s="72">
        <v>200000</v>
      </c>
      <c r="CQ75" s="37" t="e">
        <v>#N/A</v>
      </c>
      <c r="CR75" s="72" t="s">
        <v>215</v>
      </c>
      <c r="CS75" s="37" t="e">
        <v>#N/A</v>
      </c>
      <c r="CT75" s="37" t="e">
        <v>#N/A</v>
      </c>
      <c r="CU75" s="37" t="e">
        <v>#N/A</v>
      </c>
      <c r="CV75" s="37" t="e">
        <v>#N/A</v>
      </c>
      <c r="CW75" s="72" t="s">
        <v>216</v>
      </c>
      <c r="CX75" s="72" t="b">
        <v>1</v>
      </c>
      <c r="CY75" s="72" t="b">
        <v>1</v>
      </c>
      <c r="CZ75" s="72" t="b">
        <v>1</v>
      </c>
      <c r="DA75" s="72" t="b">
        <v>0</v>
      </c>
      <c r="DB75" s="72" t="b">
        <v>1</v>
      </c>
      <c r="DC75" s="72" t="b">
        <v>1</v>
      </c>
      <c r="DD75" s="72" t="b">
        <v>0</v>
      </c>
      <c r="DE75" s="72" t="b">
        <v>0</v>
      </c>
      <c r="DF75" s="134" t="s">
        <v>1559</v>
      </c>
      <c r="DG75" s="72" t="s">
        <v>1034</v>
      </c>
      <c r="DH75" s="72">
        <v>40718</v>
      </c>
      <c r="DI75" s="72">
        <v>40718</v>
      </c>
      <c r="DJ75" s="72">
        <v>40695</v>
      </c>
      <c r="DK75" s="72">
        <v>40718</v>
      </c>
      <c r="DL75" s="104" t="s">
        <v>231</v>
      </c>
      <c r="DM75" s="39" t="b">
        <f t="shared" si="2"/>
        <v>1</v>
      </c>
      <c r="DN75" s="38" t="str">
        <f t="shared" si="3"/>
        <v>1518_Verk_Z 52_sport_1 M_10 _75_W</v>
      </c>
    </row>
    <row r="76" spans="1:118" ht="15.75" customHeight="1" x14ac:dyDescent="0.25">
      <c r="A76" s="37">
        <v>71</v>
      </c>
      <c r="C76" s="73">
        <v>5392</v>
      </c>
      <c r="D76" s="134" t="s">
        <v>1070</v>
      </c>
      <c r="E76" s="72" t="s">
        <v>109</v>
      </c>
      <c r="F76" s="134" t="s">
        <v>1071</v>
      </c>
      <c r="G76" s="134" t="s">
        <v>547</v>
      </c>
      <c r="H76" s="134">
        <v>92442</v>
      </c>
      <c r="I76" s="72" t="s">
        <v>114</v>
      </c>
      <c r="J76" s="134" t="s">
        <v>1072</v>
      </c>
      <c r="K76" s="134" t="s">
        <v>1073</v>
      </c>
      <c r="L76" s="134" t="s">
        <v>1074</v>
      </c>
      <c r="M76" s="134" t="s">
        <v>1075</v>
      </c>
      <c r="N76" s="134" t="s">
        <v>1560</v>
      </c>
      <c r="O76" s="134" t="s">
        <v>1561</v>
      </c>
      <c r="P76" s="134" t="s">
        <v>1562</v>
      </c>
      <c r="Q76" s="134" t="s">
        <v>1563</v>
      </c>
      <c r="R76" s="72" t="s">
        <v>117</v>
      </c>
      <c r="S76" s="72" t="e">
        <v>#N/A</v>
      </c>
      <c r="T76" s="72" t="e">
        <v>#N/A</v>
      </c>
      <c r="U76" s="72" t="e">
        <v>#N/A</v>
      </c>
      <c r="V76" s="72" t="s">
        <v>909</v>
      </c>
      <c r="W76" s="72" t="e">
        <v>#N/A</v>
      </c>
      <c r="X76" s="72" t="e">
        <v>#N/A</v>
      </c>
      <c r="Y76" s="72" t="s">
        <v>1076</v>
      </c>
      <c r="Z76" s="72" t="s">
        <v>148</v>
      </c>
      <c r="AA76" s="72" t="s">
        <v>158</v>
      </c>
      <c r="AB76" s="102" t="e">
        <v>#N/A</v>
      </c>
      <c r="AC76" s="134" t="s">
        <v>1070</v>
      </c>
      <c r="AD76" s="134" t="s">
        <v>1564</v>
      </c>
      <c r="AE76" s="102" t="e">
        <v>#N/A</v>
      </c>
      <c r="AF76" s="102" t="e">
        <v>#N/A</v>
      </c>
      <c r="AG76" s="102" t="e">
        <v>#N/A</v>
      </c>
      <c r="AH76" s="41" t="s">
        <v>161</v>
      </c>
      <c r="AI76" s="72" t="s">
        <v>177</v>
      </c>
      <c r="AJ76" s="72" t="s">
        <v>183</v>
      </c>
      <c r="AK76" s="72">
        <v>168</v>
      </c>
      <c r="AL76" s="72" t="s">
        <v>187</v>
      </c>
      <c r="AM76" s="72">
        <v>10</v>
      </c>
      <c r="AN76" s="72" t="b">
        <v>0</v>
      </c>
      <c r="AO76" s="72" t="b">
        <v>0</v>
      </c>
      <c r="AP76" s="72" t="b">
        <v>0</v>
      </c>
      <c r="AQ76" s="72" t="b">
        <v>0</v>
      </c>
      <c r="AR76" s="72" t="b">
        <v>0</v>
      </c>
      <c r="AS76" s="72" t="b">
        <v>0</v>
      </c>
      <c r="AT76" s="72" t="b">
        <v>1</v>
      </c>
      <c r="AU76" s="72" t="b">
        <v>1</v>
      </c>
      <c r="AV76" s="72" t="b">
        <v>0</v>
      </c>
      <c r="AW76" s="72" t="b">
        <v>0</v>
      </c>
      <c r="AX76" s="72" t="s">
        <v>195</v>
      </c>
      <c r="AY76" s="72" t="s">
        <v>199</v>
      </c>
      <c r="AZ76" s="72" t="s">
        <v>199</v>
      </c>
      <c r="BA76" s="72" t="s">
        <v>198</v>
      </c>
      <c r="BB76" s="72" t="s">
        <v>199</v>
      </c>
      <c r="BC76" s="72" t="s">
        <v>199</v>
      </c>
      <c r="BD76" s="72" t="s">
        <v>199</v>
      </c>
      <c r="BE76" s="72" t="s">
        <v>202</v>
      </c>
      <c r="BF76" s="72" t="s">
        <v>1077</v>
      </c>
      <c r="BG76" s="72" t="s">
        <v>1078</v>
      </c>
      <c r="BH76" s="72" t="s">
        <v>39</v>
      </c>
      <c r="BI76" s="72" t="s">
        <v>206</v>
      </c>
      <c r="BJ76" s="37" t="e">
        <v>#N/A</v>
      </c>
      <c r="BK76" s="72" t="s">
        <v>1079</v>
      </c>
      <c r="BL76" s="72" t="s">
        <v>39</v>
      </c>
      <c r="BM76" s="72" t="s">
        <v>207</v>
      </c>
      <c r="BN76" s="37" t="e">
        <v>#N/A</v>
      </c>
      <c r="BO76" s="72" t="s">
        <v>1080</v>
      </c>
      <c r="BP76" s="72" t="s">
        <v>39</v>
      </c>
      <c r="BQ76" s="72" t="s">
        <v>209</v>
      </c>
      <c r="BR76" s="72" t="s">
        <v>104</v>
      </c>
      <c r="BS76" s="72" t="s">
        <v>208</v>
      </c>
      <c r="BT76" s="72" t="s">
        <v>39</v>
      </c>
      <c r="BU76" s="72" t="b">
        <v>0</v>
      </c>
      <c r="BV76" s="72" t="b">
        <v>0</v>
      </c>
      <c r="BW76" s="72" t="b">
        <v>0</v>
      </c>
      <c r="BX76" s="72" t="b">
        <v>0</v>
      </c>
      <c r="BY76" s="72" t="b">
        <v>0</v>
      </c>
      <c r="BZ76" s="72" t="b">
        <v>0</v>
      </c>
      <c r="CA76" s="72" t="b">
        <v>0</v>
      </c>
      <c r="CB76" s="72" t="b">
        <v>0</v>
      </c>
      <c r="CC76" s="72" t="b">
        <v>1</v>
      </c>
      <c r="CD76" s="72" t="s">
        <v>1081</v>
      </c>
      <c r="CE76" s="72" t="b">
        <v>1</v>
      </c>
      <c r="CF76" s="72" t="b">
        <v>1</v>
      </c>
      <c r="CG76" s="72" t="b">
        <v>0</v>
      </c>
      <c r="CH76" s="72" t="b">
        <v>0</v>
      </c>
      <c r="CI76" s="72" t="b">
        <v>0</v>
      </c>
      <c r="CJ76" s="72" t="b">
        <v>0</v>
      </c>
      <c r="CK76" s="72" t="b">
        <v>0</v>
      </c>
      <c r="CL76" s="72" t="b">
        <v>0</v>
      </c>
      <c r="CM76" s="72" t="b">
        <v>0</v>
      </c>
      <c r="CN76" s="72" t="s">
        <v>39</v>
      </c>
      <c r="CO76" s="58" t="e">
        <v>#N/A</v>
      </c>
      <c r="CP76" s="37" t="e">
        <v>#N/A</v>
      </c>
      <c r="CQ76" s="37" t="e">
        <v>#N/A</v>
      </c>
      <c r="CR76" s="37" t="e">
        <v>#N/A</v>
      </c>
      <c r="CS76" s="37" t="e">
        <v>#N/A</v>
      </c>
      <c r="CT76" s="37" t="e">
        <v>#N/A</v>
      </c>
      <c r="CU76" s="37" t="e">
        <v>#N/A</v>
      </c>
      <c r="CV76" s="37" t="e">
        <v>#N/A</v>
      </c>
      <c r="CW76" s="37" t="e">
        <v>#N/A</v>
      </c>
      <c r="CX76" s="72" t="b">
        <v>0</v>
      </c>
      <c r="CY76" s="72" t="b">
        <v>1</v>
      </c>
      <c r="CZ76" s="72" t="b">
        <v>1</v>
      </c>
      <c r="DA76" s="72" t="b">
        <v>0</v>
      </c>
      <c r="DB76" s="72" t="b">
        <v>1</v>
      </c>
      <c r="DC76" s="72" t="b">
        <v>0</v>
      </c>
      <c r="DD76" s="72" t="b">
        <v>1</v>
      </c>
      <c r="DE76" s="72" t="b">
        <v>0</v>
      </c>
      <c r="DF76" s="102" t="e">
        <v>#N/A</v>
      </c>
      <c r="DG76" s="72" t="s">
        <v>1034</v>
      </c>
      <c r="DH76" s="72">
        <v>40718</v>
      </c>
      <c r="DI76" s="72">
        <v>40718</v>
      </c>
      <c r="DJ76" s="72">
        <v>40718</v>
      </c>
      <c r="DK76" s="72">
        <v>40718</v>
      </c>
      <c r="DL76" s="104" t="s">
        <v>231</v>
      </c>
      <c r="DM76" s="39" t="b">
        <f t="shared" si="2"/>
        <v>1</v>
      </c>
      <c r="DN76" s="38" t="str">
        <f t="shared" si="3"/>
        <v>5392_Auto_XXXX_ktion_5 M_100_bi_W</v>
      </c>
    </row>
    <row r="77" spans="1:118" ht="15.75" customHeight="1" x14ac:dyDescent="0.25">
      <c r="A77" s="37">
        <v>72</v>
      </c>
      <c r="C77" s="73">
        <v>4952</v>
      </c>
      <c r="D77" s="134" t="s">
        <v>1082</v>
      </c>
      <c r="E77" s="72" t="s">
        <v>109</v>
      </c>
      <c r="F77" s="134" t="s">
        <v>1083</v>
      </c>
      <c r="G77" s="134" t="s">
        <v>361</v>
      </c>
      <c r="H77" s="134">
        <v>92693</v>
      </c>
      <c r="I77" s="72" t="s">
        <v>114</v>
      </c>
      <c r="J77" s="134" t="s">
        <v>1084</v>
      </c>
      <c r="K77" s="134" t="s">
        <v>1085</v>
      </c>
      <c r="L77" s="134" t="s">
        <v>1086</v>
      </c>
      <c r="M77" s="134" t="s">
        <v>1087</v>
      </c>
      <c r="N77" s="134" t="s">
        <v>1565</v>
      </c>
      <c r="O77" s="134" t="s">
        <v>1566</v>
      </c>
      <c r="P77" s="134" t="s">
        <v>1084</v>
      </c>
      <c r="Q77" s="134" t="s">
        <v>1086</v>
      </c>
      <c r="R77" s="72" t="s">
        <v>117</v>
      </c>
      <c r="S77" s="72" t="s">
        <v>118</v>
      </c>
      <c r="T77" s="72" t="e">
        <v>#N/A</v>
      </c>
      <c r="U77" s="72" t="e">
        <v>#N/A</v>
      </c>
      <c r="V77" s="72" t="s">
        <v>128</v>
      </c>
      <c r="W77" s="72" t="e">
        <v>#N/A</v>
      </c>
      <c r="X77" s="72" t="e">
        <v>#N/A</v>
      </c>
      <c r="Y77" s="72" t="s">
        <v>1088</v>
      </c>
      <c r="Z77" s="72" t="s">
        <v>149</v>
      </c>
      <c r="AA77" s="72" t="s">
        <v>157</v>
      </c>
      <c r="AB77" s="102" t="e">
        <v>#N/A</v>
      </c>
      <c r="AC77" s="102" t="e">
        <v>#N/A</v>
      </c>
      <c r="AD77" s="102" t="e">
        <v>#N/A</v>
      </c>
      <c r="AE77" s="102" t="e">
        <v>#N/A</v>
      </c>
      <c r="AF77" s="102" t="e">
        <v>#N/A</v>
      </c>
      <c r="AG77" s="102" t="e">
        <v>#N/A</v>
      </c>
      <c r="AH77" s="41" t="s">
        <v>161</v>
      </c>
      <c r="AI77" s="72" t="s">
        <v>177</v>
      </c>
      <c r="AJ77" s="72" t="s">
        <v>183</v>
      </c>
      <c r="AK77" s="72" t="s">
        <v>1089</v>
      </c>
      <c r="AL77" s="72" t="s">
        <v>188</v>
      </c>
      <c r="AM77" s="37" t="e">
        <v>#N/A</v>
      </c>
      <c r="AN77" s="72" t="b">
        <v>0</v>
      </c>
      <c r="AO77" s="72" t="b">
        <v>0</v>
      </c>
      <c r="AP77" s="72" t="b">
        <v>0</v>
      </c>
      <c r="AQ77" s="72" t="b">
        <v>0</v>
      </c>
      <c r="AR77" s="72" t="b">
        <v>0</v>
      </c>
      <c r="AS77" s="72" t="b">
        <v>0</v>
      </c>
      <c r="AT77" s="72" t="b">
        <v>1</v>
      </c>
      <c r="AU77" s="72" t="b">
        <v>1</v>
      </c>
      <c r="AV77" s="72" t="b">
        <v>0</v>
      </c>
      <c r="AW77" s="72" t="b">
        <v>0</v>
      </c>
      <c r="AX77" s="72" t="s">
        <v>195</v>
      </c>
      <c r="AY77" s="72" t="s">
        <v>196</v>
      </c>
      <c r="AZ77" s="72" t="s">
        <v>199</v>
      </c>
      <c r="BA77" s="72" t="s">
        <v>199</v>
      </c>
      <c r="BB77" s="72" t="s">
        <v>196</v>
      </c>
      <c r="BC77" s="72" t="s">
        <v>196</v>
      </c>
      <c r="BD77" s="72" t="s">
        <v>199</v>
      </c>
      <c r="BE77" s="72" t="s">
        <v>202</v>
      </c>
      <c r="BF77" s="72" t="s">
        <v>1090</v>
      </c>
      <c r="BG77" s="72" t="s">
        <v>1091</v>
      </c>
      <c r="BH77" s="72" t="s">
        <v>33</v>
      </c>
      <c r="BI77" s="37" t="e">
        <v>#N/A</v>
      </c>
      <c r="BJ77" s="37" t="e">
        <v>#N/A</v>
      </c>
      <c r="BK77" s="37" t="e">
        <v>#N/A</v>
      </c>
      <c r="BL77" s="37" t="e">
        <v>#N/A</v>
      </c>
      <c r="BM77" s="37" t="e">
        <v>#N/A</v>
      </c>
      <c r="BN77" s="37" t="e">
        <v>#N/A</v>
      </c>
      <c r="BO77" s="37" t="e">
        <v>#N/A</v>
      </c>
      <c r="BP77" s="37" t="e">
        <v>#N/A</v>
      </c>
      <c r="BQ77" s="72" t="s">
        <v>209</v>
      </c>
      <c r="BR77" s="37" t="e">
        <v>#N/A</v>
      </c>
      <c r="BS77" s="72" t="s">
        <v>208</v>
      </c>
      <c r="BT77" s="72" t="s">
        <v>33</v>
      </c>
      <c r="BU77" s="72" t="b">
        <v>0</v>
      </c>
      <c r="BV77" s="72" t="b">
        <v>0</v>
      </c>
      <c r="BW77" s="72" t="b">
        <v>0</v>
      </c>
      <c r="BX77" s="72" t="b">
        <v>0</v>
      </c>
      <c r="BY77" s="72" t="b">
        <v>0</v>
      </c>
      <c r="BZ77" s="72" t="b">
        <v>0</v>
      </c>
      <c r="CA77" s="72" t="b">
        <v>0</v>
      </c>
      <c r="CB77" s="72" t="b">
        <v>0</v>
      </c>
      <c r="CC77" s="72" t="b">
        <v>1</v>
      </c>
      <c r="CD77" s="72" t="s">
        <v>1092</v>
      </c>
      <c r="CE77" s="72" t="b">
        <v>0</v>
      </c>
      <c r="CF77" s="72" t="b">
        <v>0</v>
      </c>
      <c r="CG77" s="72" t="b">
        <v>0</v>
      </c>
      <c r="CH77" s="72" t="b">
        <v>0</v>
      </c>
      <c r="CI77" s="72" t="b">
        <v>0</v>
      </c>
      <c r="CJ77" s="72" t="b">
        <v>0</v>
      </c>
      <c r="CK77" s="72" t="b">
        <v>0</v>
      </c>
      <c r="CL77" s="72" t="b">
        <v>0</v>
      </c>
      <c r="CM77" s="72" t="b">
        <v>0</v>
      </c>
      <c r="CN77" s="72" t="s">
        <v>211</v>
      </c>
      <c r="CO77" s="75" t="s">
        <v>212</v>
      </c>
      <c r="CP77" s="72" t="s">
        <v>1093</v>
      </c>
      <c r="CQ77" s="72" t="s">
        <v>1094</v>
      </c>
      <c r="CR77" s="72" t="s">
        <v>215</v>
      </c>
      <c r="CS77" s="37" t="e">
        <v>#N/A</v>
      </c>
      <c r="CT77" s="37" t="e">
        <v>#N/A</v>
      </c>
      <c r="CU77" s="37" t="e">
        <v>#N/A</v>
      </c>
      <c r="CV77" s="37" t="e">
        <v>#N/A</v>
      </c>
      <c r="CW77" s="72" t="s">
        <v>39</v>
      </c>
      <c r="CX77" s="72" t="b">
        <v>1</v>
      </c>
      <c r="CY77" s="72" t="b">
        <v>1</v>
      </c>
      <c r="CZ77" s="72" t="b">
        <v>1</v>
      </c>
      <c r="DA77" s="72" t="b">
        <v>0</v>
      </c>
      <c r="DB77" s="72" t="b">
        <v>1</v>
      </c>
      <c r="DC77" s="72" t="b">
        <v>0</v>
      </c>
      <c r="DD77" s="72" t="b">
        <v>1</v>
      </c>
      <c r="DE77" s="72" t="b">
        <v>0</v>
      </c>
      <c r="DF77" s="102" t="e">
        <v>#N/A</v>
      </c>
      <c r="DG77" s="72" t="s">
        <v>1043</v>
      </c>
      <c r="DH77" s="72">
        <v>40718</v>
      </c>
      <c r="DI77" s="72">
        <v>40718</v>
      </c>
      <c r="DJ77" s="72">
        <v>40714</v>
      </c>
      <c r="DK77" s="72">
        <v>40718</v>
      </c>
      <c r="DL77" s="104" t="s">
        <v>231</v>
      </c>
      <c r="DM77" s="39" t="b">
        <f t="shared" si="2"/>
        <v>0</v>
      </c>
      <c r="DN77" s="38" t="str">
        <f t="shared" si="3"/>
        <v>4952_Auto_XXXX_ktion_5 M_100_10_F</v>
      </c>
    </row>
    <row r="78" spans="1:118" ht="15.75" customHeight="1" x14ac:dyDescent="0.25">
      <c r="A78" s="37">
        <v>73</v>
      </c>
      <c r="C78" s="73">
        <v>2377</v>
      </c>
      <c r="D78" s="134" t="s">
        <v>1095</v>
      </c>
      <c r="E78" s="72" t="s">
        <v>109</v>
      </c>
      <c r="F78" s="134" t="s">
        <v>1096</v>
      </c>
      <c r="G78" s="134" t="s">
        <v>1097</v>
      </c>
      <c r="H78" s="134">
        <v>92552</v>
      </c>
      <c r="I78" s="72" t="s">
        <v>114</v>
      </c>
      <c r="J78" s="134" t="s">
        <v>1098</v>
      </c>
      <c r="K78" s="134" t="s">
        <v>1099</v>
      </c>
      <c r="L78" s="134" t="s">
        <v>1100</v>
      </c>
      <c r="M78" s="134" t="s">
        <v>1101</v>
      </c>
      <c r="N78" s="134" t="s">
        <v>1567</v>
      </c>
      <c r="O78" s="134" t="s">
        <v>1568</v>
      </c>
      <c r="P78" s="134" t="s">
        <v>1569</v>
      </c>
      <c r="Q78" s="134" t="s">
        <v>1570</v>
      </c>
      <c r="R78" s="72" t="s">
        <v>124</v>
      </c>
      <c r="S78" s="37" t="e">
        <v>#N/A</v>
      </c>
      <c r="T78" s="72" t="e">
        <v>#N/A</v>
      </c>
      <c r="U78" s="72" t="s">
        <v>138</v>
      </c>
      <c r="V78" s="72" t="e">
        <v>#N/A</v>
      </c>
      <c r="W78" s="72" t="e">
        <v>#N/A</v>
      </c>
      <c r="X78" s="72" t="e">
        <v>#N/A</v>
      </c>
      <c r="Y78" s="72" t="s">
        <v>1102</v>
      </c>
      <c r="Z78" s="72" t="s">
        <v>148</v>
      </c>
      <c r="AA78" s="72" t="s">
        <v>157</v>
      </c>
      <c r="AB78" s="102" t="e">
        <v>#N/A</v>
      </c>
      <c r="AC78" s="102" t="e">
        <v>#N/A</v>
      </c>
      <c r="AD78" s="102" t="e">
        <v>#N/A</v>
      </c>
      <c r="AE78" s="102" t="e">
        <v>#N/A</v>
      </c>
      <c r="AF78" s="102" t="e">
        <v>#N/A</v>
      </c>
      <c r="AG78" s="102" t="e">
        <v>#N/A</v>
      </c>
      <c r="AH78" s="41" t="s">
        <v>164</v>
      </c>
      <c r="AI78" s="72" t="s">
        <v>177</v>
      </c>
      <c r="AJ78" s="72" t="s">
        <v>184</v>
      </c>
      <c r="AK78" s="37" t="e">
        <v>#N/A</v>
      </c>
      <c r="AL78" s="72" t="s">
        <v>192</v>
      </c>
      <c r="AM78" s="37" t="e">
        <v>#N/A</v>
      </c>
      <c r="AN78" s="72" t="b">
        <v>0</v>
      </c>
      <c r="AO78" s="72" t="b">
        <v>0</v>
      </c>
      <c r="AP78" s="72" t="b">
        <v>0</v>
      </c>
      <c r="AQ78" s="72" t="b">
        <v>0</v>
      </c>
      <c r="AR78" s="72" t="b">
        <v>0</v>
      </c>
      <c r="AS78" s="72" t="b">
        <v>0</v>
      </c>
      <c r="AT78" s="72" t="b">
        <v>1</v>
      </c>
      <c r="AU78" s="72" t="b">
        <v>0</v>
      </c>
      <c r="AV78" s="72" t="b">
        <v>0</v>
      </c>
      <c r="AW78" s="72" t="b">
        <v>1</v>
      </c>
      <c r="AX78" s="72" t="s">
        <v>194</v>
      </c>
      <c r="AY78" s="72" t="s">
        <v>199</v>
      </c>
      <c r="AZ78" s="72" t="s">
        <v>200</v>
      </c>
      <c r="BA78" s="72" t="s">
        <v>199</v>
      </c>
      <c r="BB78" s="72" t="s">
        <v>199</v>
      </c>
      <c r="BC78" s="72" t="s">
        <v>200</v>
      </c>
      <c r="BD78" s="72" t="s">
        <v>199</v>
      </c>
      <c r="BE78" s="72" t="s">
        <v>206</v>
      </c>
      <c r="BF78" s="72" t="s">
        <v>1103</v>
      </c>
      <c r="BG78" s="37" t="e">
        <v>#N/A</v>
      </c>
      <c r="BH78" s="72" t="s">
        <v>33</v>
      </c>
      <c r="BI78" s="72" t="s">
        <v>202</v>
      </c>
      <c r="BJ78" s="72" t="s">
        <v>1104</v>
      </c>
      <c r="BK78" s="72" t="s">
        <v>491</v>
      </c>
      <c r="BL78" s="72" t="s">
        <v>39</v>
      </c>
      <c r="BM78" s="72" t="s">
        <v>205</v>
      </c>
      <c r="BN78" s="72" t="s">
        <v>1105</v>
      </c>
      <c r="BO78" s="72" t="s">
        <v>1106</v>
      </c>
      <c r="BP78" s="72" t="s">
        <v>33</v>
      </c>
      <c r="BQ78" s="72" t="s">
        <v>208</v>
      </c>
      <c r="BR78" s="72" t="s">
        <v>104</v>
      </c>
      <c r="BS78" s="72" t="s">
        <v>209</v>
      </c>
      <c r="BT78" s="72" t="s">
        <v>33</v>
      </c>
      <c r="BU78" s="72" t="b">
        <v>0</v>
      </c>
      <c r="BV78" s="72" t="b">
        <v>0</v>
      </c>
      <c r="BW78" s="72" t="b">
        <v>0</v>
      </c>
      <c r="BX78" s="72" t="b">
        <v>0</v>
      </c>
      <c r="BY78" s="72" t="b">
        <v>0</v>
      </c>
      <c r="BZ78" s="72" t="b">
        <v>0</v>
      </c>
      <c r="CA78" s="72" t="b">
        <v>0</v>
      </c>
      <c r="CB78" s="72" t="b">
        <v>0</v>
      </c>
      <c r="CC78" s="72" t="b">
        <v>1</v>
      </c>
      <c r="CD78" s="72" t="s">
        <v>1107</v>
      </c>
      <c r="CE78" s="72" t="b">
        <v>0</v>
      </c>
      <c r="CF78" s="72" t="b">
        <v>0</v>
      </c>
      <c r="CG78" s="72" t="b">
        <v>0</v>
      </c>
      <c r="CH78" s="72" t="b">
        <v>0</v>
      </c>
      <c r="CI78" s="72" t="b">
        <v>0</v>
      </c>
      <c r="CJ78" s="72" t="b">
        <v>0</v>
      </c>
      <c r="CK78" s="72" t="b">
        <v>0</v>
      </c>
      <c r="CL78" s="72" t="b">
        <v>0</v>
      </c>
      <c r="CM78" s="72" t="b">
        <v>0</v>
      </c>
      <c r="CN78" s="72" t="s">
        <v>39</v>
      </c>
      <c r="CO78" s="58" t="e">
        <v>#N/A</v>
      </c>
      <c r="CP78" s="37" t="e">
        <v>#N/A</v>
      </c>
      <c r="CQ78" s="37" t="e">
        <v>#N/A</v>
      </c>
      <c r="CR78" s="37" t="e">
        <v>#N/A</v>
      </c>
      <c r="CS78" s="37" t="e">
        <v>#N/A</v>
      </c>
      <c r="CT78" s="37" t="e">
        <v>#N/A</v>
      </c>
      <c r="CU78" s="37" t="e">
        <v>#N/A</v>
      </c>
      <c r="CV78" s="37" t="e">
        <v>#N/A</v>
      </c>
      <c r="CW78" s="37" t="e">
        <v>#N/A</v>
      </c>
      <c r="CX78" s="72" t="b">
        <v>0</v>
      </c>
      <c r="CY78" s="72" t="b">
        <v>0</v>
      </c>
      <c r="CZ78" s="72" t="b">
        <v>0</v>
      </c>
      <c r="DA78" s="72" t="b">
        <v>0</v>
      </c>
      <c r="DB78" s="72" t="b">
        <v>1</v>
      </c>
      <c r="DC78" s="72" t="b">
        <v>1</v>
      </c>
      <c r="DD78" s="72" t="b">
        <v>0</v>
      </c>
      <c r="DE78" s="72" t="b">
        <v>0</v>
      </c>
      <c r="DF78" s="102" t="e">
        <v>#N/A</v>
      </c>
      <c r="DG78" s="72" t="s">
        <v>1043</v>
      </c>
      <c r="DH78" s="72">
        <v>40717</v>
      </c>
      <c r="DI78" s="72">
        <v>40717</v>
      </c>
      <c r="DJ78" s="72">
        <v>40693</v>
      </c>
      <c r="DK78" s="72">
        <v>40717</v>
      </c>
      <c r="DL78" s="104" t="s">
        <v>231</v>
      </c>
      <c r="DM78" s="39" t="b">
        <f t="shared" si="2"/>
        <v>0</v>
      </c>
      <c r="DN78" s="38" t="str">
        <f t="shared" si="3"/>
        <v>2377_Soft_Z 62_ssung_5 M_200_75_F</v>
      </c>
    </row>
    <row r="79" spans="1:118" ht="15.75" customHeight="1" x14ac:dyDescent="0.25">
      <c r="A79" s="37">
        <v>74</v>
      </c>
      <c r="C79" s="73">
        <v>3377</v>
      </c>
      <c r="D79" s="134" t="s">
        <v>1108</v>
      </c>
      <c r="E79" s="72" t="s">
        <v>110</v>
      </c>
      <c r="F79" s="134" t="s">
        <v>1109</v>
      </c>
      <c r="G79" s="134" t="s">
        <v>547</v>
      </c>
      <c r="H79" s="134">
        <v>92442</v>
      </c>
      <c r="I79" s="72" t="s">
        <v>114</v>
      </c>
      <c r="J79" s="134" t="s">
        <v>1110</v>
      </c>
      <c r="K79" s="134" t="s">
        <v>1111</v>
      </c>
      <c r="L79" s="134" t="s">
        <v>1112</v>
      </c>
      <c r="M79" s="134" t="s">
        <v>1113</v>
      </c>
      <c r="N79" s="134" t="s">
        <v>1571</v>
      </c>
      <c r="O79" s="134" t="s">
        <v>1572</v>
      </c>
      <c r="P79" s="134" t="s">
        <v>1573</v>
      </c>
      <c r="Q79" s="134" t="s">
        <v>1574</v>
      </c>
      <c r="R79" s="72" t="s">
        <v>118</v>
      </c>
      <c r="S79" s="72" t="s">
        <v>119</v>
      </c>
      <c r="T79" s="72" t="e">
        <v>#N/A</v>
      </c>
      <c r="U79" s="72" t="s">
        <v>128</v>
      </c>
      <c r="V79" s="72" t="e">
        <v>#N/A</v>
      </c>
      <c r="W79" s="72" t="e">
        <v>#N/A</v>
      </c>
      <c r="X79" s="72" t="e">
        <v>#N/A</v>
      </c>
      <c r="Y79" s="72" t="s">
        <v>1114</v>
      </c>
      <c r="Z79" s="72" t="s">
        <v>148</v>
      </c>
      <c r="AA79" s="72" t="s">
        <v>156</v>
      </c>
      <c r="AB79" s="102" t="e">
        <v>#N/A</v>
      </c>
      <c r="AC79" s="102" t="e">
        <v>#N/A</v>
      </c>
      <c r="AD79" s="102" t="e">
        <v>#N/A</v>
      </c>
      <c r="AE79" s="102" t="e">
        <v>#N/A</v>
      </c>
      <c r="AF79" s="102" t="e">
        <v>#N/A</v>
      </c>
      <c r="AG79" s="102" t="e">
        <v>#N/A</v>
      </c>
      <c r="AH79" s="41" t="s">
        <v>161</v>
      </c>
      <c r="AI79" s="72" t="s">
        <v>177</v>
      </c>
      <c r="AJ79" s="72" t="s">
        <v>182</v>
      </c>
      <c r="AK79" s="72">
        <v>78</v>
      </c>
      <c r="AL79" s="72" t="s">
        <v>187</v>
      </c>
      <c r="AM79" s="72">
        <v>4</v>
      </c>
      <c r="AN79" s="72" t="b">
        <v>1</v>
      </c>
      <c r="AO79" s="72" t="b">
        <v>0</v>
      </c>
      <c r="AP79" s="72" t="b">
        <v>0</v>
      </c>
      <c r="AQ79" s="72" t="b">
        <v>0</v>
      </c>
      <c r="AR79" s="72" t="b">
        <v>0</v>
      </c>
      <c r="AS79" s="72" t="b">
        <v>1</v>
      </c>
      <c r="AT79" s="72" t="b">
        <v>0</v>
      </c>
      <c r="AU79" s="72" t="b">
        <v>0</v>
      </c>
      <c r="AV79" s="72" t="b">
        <v>0</v>
      </c>
      <c r="AW79" s="72" t="b">
        <v>0</v>
      </c>
      <c r="AX79" s="72" t="s">
        <v>194</v>
      </c>
      <c r="AY79" s="72" t="s">
        <v>196</v>
      </c>
      <c r="AZ79" s="37" t="e">
        <v>#N/A</v>
      </c>
      <c r="BA79" s="37" t="e">
        <v>#N/A</v>
      </c>
      <c r="BB79" s="37" t="e">
        <v>#N/A</v>
      </c>
      <c r="BC79" s="37" t="e">
        <v>#N/A</v>
      </c>
      <c r="BD79" s="37" t="e">
        <v>#N/A</v>
      </c>
      <c r="BE79" s="72" t="s">
        <v>202</v>
      </c>
      <c r="BF79" s="72">
        <v>2000</v>
      </c>
      <c r="BG79" s="72" t="s">
        <v>1115</v>
      </c>
      <c r="BH79" s="72" t="s">
        <v>33</v>
      </c>
      <c r="BI79" s="72" t="s">
        <v>205</v>
      </c>
      <c r="BJ79" s="37" t="e">
        <v>#N/A</v>
      </c>
      <c r="BK79" s="72" t="s">
        <v>1116</v>
      </c>
      <c r="BL79" s="72" t="s">
        <v>33</v>
      </c>
      <c r="BM79" s="37" t="e">
        <v>#N/A</v>
      </c>
      <c r="BN79" s="37" t="e">
        <v>#N/A</v>
      </c>
      <c r="BO79" s="37" t="e">
        <v>#N/A</v>
      </c>
      <c r="BP79" s="37" t="e">
        <v>#N/A</v>
      </c>
      <c r="BQ79" s="72" t="s">
        <v>209</v>
      </c>
      <c r="BR79" s="37" t="e">
        <v>#N/A</v>
      </c>
      <c r="BS79" s="72" t="s">
        <v>209</v>
      </c>
      <c r="BT79" s="37" t="e">
        <v>#N/A</v>
      </c>
      <c r="BU79" s="72" t="b">
        <v>0</v>
      </c>
      <c r="BV79" s="72" t="b">
        <v>0</v>
      </c>
      <c r="BW79" s="72" t="b">
        <v>0</v>
      </c>
      <c r="BX79" s="72" t="b">
        <v>0</v>
      </c>
      <c r="BY79" s="72" t="b">
        <v>0</v>
      </c>
      <c r="BZ79" s="72" t="b">
        <v>0</v>
      </c>
      <c r="CA79" s="72" t="b">
        <v>0</v>
      </c>
      <c r="CB79" s="72" t="b">
        <v>0</v>
      </c>
      <c r="CC79" s="72" t="b">
        <v>1</v>
      </c>
      <c r="CD79" s="72" t="s">
        <v>1117</v>
      </c>
      <c r="CE79" s="72" t="b">
        <v>0</v>
      </c>
      <c r="CF79" s="72" t="b">
        <v>0</v>
      </c>
      <c r="CG79" s="72" t="b">
        <v>0</v>
      </c>
      <c r="CH79" s="72" t="b">
        <v>0</v>
      </c>
      <c r="CI79" s="72" t="b">
        <v>0</v>
      </c>
      <c r="CJ79" s="72" t="b">
        <v>0</v>
      </c>
      <c r="CK79" s="72" t="b">
        <v>0</v>
      </c>
      <c r="CL79" s="72" t="b">
        <v>0</v>
      </c>
      <c r="CM79" s="72" t="b">
        <v>0</v>
      </c>
      <c r="CN79" s="72" t="s">
        <v>39</v>
      </c>
      <c r="CO79" s="58" t="e">
        <v>#N/A</v>
      </c>
      <c r="CP79" s="37" t="e">
        <v>#N/A</v>
      </c>
      <c r="CQ79" s="37" t="e">
        <v>#N/A</v>
      </c>
      <c r="CR79" s="37" t="e">
        <v>#N/A</v>
      </c>
      <c r="CS79" s="37" t="e">
        <v>#N/A</v>
      </c>
      <c r="CT79" s="37" t="e">
        <v>#N/A</v>
      </c>
      <c r="CU79" s="37" t="e">
        <v>#N/A</v>
      </c>
      <c r="CV79" s="37" t="e">
        <v>#N/A</v>
      </c>
      <c r="CW79" s="37" t="e">
        <v>#N/A</v>
      </c>
      <c r="CX79" s="72" t="b">
        <v>0</v>
      </c>
      <c r="CY79" s="72" t="b">
        <v>1</v>
      </c>
      <c r="CZ79" s="72" t="b">
        <v>1</v>
      </c>
      <c r="DA79" s="72" t="b">
        <v>0</v>
      </c>
      <c r="DB79" s="72" t="b">
        <v>1</v>
      </c>
      <c r="DC79" s="72" t="b">
        <v>0</v>
      </c>
      <c r="DD79" s="72" t="b">
        <v>1</v>
      </c>
      <c r="DE79" s="72" t="b">
        <v>0</v>
      </c>
      <c r="DF79" s="134" t="s">
        <v>1575</v>
      </c>
      <c r="DG79" s="72" t="s">
        <v>1043</v>
      </c>
      <c r="DH79" s="72">
        <v>40718</v>
      </c>
      <c r="DI79" s="72">
        <v>40718</v>
      </c>
      <c r="DJ79" s="72">
        <v>40715</v>
      </c>
      <c r="DK79" s="72">
        <v>40718</v>
      </c>
      <c r="DL79" s="104" t="s">
        <v>231</v>
      </c>
      <c r="DM79" s="39" t="b">
        <f t="shared" si="2"/>
        <v>0</v>
      </c>
      <c r="DN79" s="38" t="str">
        <f t="shared" si="3"/>
        <v>3377_Indu_Z 25_ktion_5 M_50 _bi_F</v>
      </c>
    </row>
    <row r="80" spans="1:118" ht="15.75" customHeight="1" x14ac:dyDescent="0.25">
      <c r="A80" s="37">
        <v>75</v>
      </c>
      <c r="C80" s="73">
        <v>1918</v>
      </c>
      <c r="D80" s="134" t="s">
        <v>1118</v>
      </c>
      <c r="E80" s="72" t="s">
        <v>110</v>
      </c>
      <c r="F80" s="134" t="s">
        <v>1119</v>
      </c>
      <c r="G80" s="134" t="s">
        <v>263</v>
      </c>
      <c r="H80" s="134">
        <v>92637</v>
      </c>
      <c r="I80" s="72" t="s">
        <v>114</v>
      </c>
      <c r="J80" s="134" t="s">
        <v>1120</v>
      </c>
      <c r="K80" s="134" t="s">
        <v>1121</v>
      </c>
      <c r="L80" s="134" t="s">
        <v>1122</v>
      </c>
      <c r="M80" s="134" t="s">
        <v>1123</v>
      </c>
      <c r="N80" s="102" t="e">
        <v>#N/A</v>
      </c>
      <c r="O80" s="134" t="s">
        <v>1576</v>
      </c>
      <c r="P80" s="134" t="s">
        <v>1577</v>
      </c>
      <c r="Q80" s="134" t="s">
        <v>1122</v>
      </c>
      <c r="R80" s="72" t="s">
        <v>119</v>
      </c>
      <c r="S80" s="37" t="e">
        <v>#N/A</v>
      </c>
      <c r="T80" s="72" t="e">
        <v>#N/A</v>
      </c>
      <c r="U80" s="72" t="s">
        <v>104</v>
      </c>
      <c r="V80" s="72" t="s">
        <v>140</v>
      </c>
      <c r="W80" s="72" t="s">
        <v>145</v>
      </c>
      <c r="X80" s="72" t="e">
        <v>#N/A</v>
      </c>
      <c r="Y80" s="72" t="s">
        <v>1124</v>
      </c>
      <c r="Z80" s="72" t="s">
        <v>148</v>
      </c>
      <c r="AA80" s="72" t="s">
        <v>157</v>
      </c>
      <c r="AB80" s="102" t="e">
        <v>#N/A</v>
      </c>
      <c r="AC80" s="102" t="e">
        <v>#N/A</v>
      </c>
      <c r="AD80" s="102" t="e">
        <v>#N/A</v>
      </c>
      <c r="AE80" s="102" t="e">
        <v>#N/A</v>
      </c>
      <c r="AF80" s="102" t="e">
        <v>#N/A</v>
      </c>
      <c r="AG80" s="102" t="e">
        <v>#N/A</v>
      </c>
      <c r="AH80" s="41" t="s">
        <v>165</v>
      </c>
      <c r="AI80" s="72" t="s">
        <v>177</v>
      </c>
      <c r="AJ80" s="72" t="s">
        <v>184</v>
      </c>
      <c r="AK80" s="37" t="e">
        <v>#N/A</v>
      </c>
      <c r="AL80" s="72" t="s">
        <v>187</v>
      </c>
      <c r="AM80" s="37" t="e">
        <v>#N/A</v>
      </c>
      <c r="AN80" s="72" t="b">
        <v>0</v>
      </c>
      <c r="AO80" s="72" t="b">
        <v>0</v>
      </c>
      <c r="AP80" s="72" t="b">
        <v>0</v>
      </c>
      <c r="AQ80" s="72" t="b">
        <v>0</v>
      </c>
      <c r="AR80" s="72" t="b">
        <v>0</v>
      </c>
      <c r="AS80" s="72" t="b">
        <v>0</v>
      </c>
      <c r="AT80" s="72" t="b">
        <v>1</v>
      </c>
      <c r="AU80" s="72" t="b">
        <v>1</v>
      </c>
      <c r="AV80" s="72" t="b">
        <v>0</v>
      </c>
      <c r="AW80" s="72" t="b">
        <v>0</v>
      </c>
      <c r="AX80" s="72" t="s">
        <v>194</v>
      </c>
      <c r="AY80" s="72" t="s">
        <v>198</v>
      </c>
      <c r="AZ80" s="72" t="s">
        <v>198</v>
      </c>
      <c r="BA80" s="72" t="s">
        <v>198</v>
      </c>
      <c r="BB80" s="72" t="s">
        <v>198</v>
      </c>
      <c r="BC80" s="72" t="s">
        <v>198</v>
      </c>
      <c r="BD80" s="72" t="s">
        <v>198</v>
      </c>
      <c r="BE80" s="72" t="s">
        <v>201</v>
      </c>
      <c r="BF80" s="37" t="e">
        <v>#N/A</v>
      </c>
      <c r="BG80" s="37" t="e">
        <v>#N/A</v>
      </c>
      <c r="BH80" s="37" t="e">
        <v>#N/A</v>
      </c>
      <c r="BI80" s="72" t="s">
        <v>202</v>
      </c>
      <c r="BJ80" s="37" t="e">
        <v>#N/A</v>
      </c>
      <c r="BK80" s="37" t="e">
        <v>#N/A</v>
      </c>
      <c r="BL80" s="37" t="e">
        <v>#N/A</v>
      </c>
      <c r="BM80" s="37" t="e">
        <v>#N/A</v>
      </c>
      <c r="BN80" s="37" t="e">
        <v>#N/A</v>
      </c>
      <c r="BO80" s="37" t="e">
        <v>#N/A</v>
      </c>
      <c r="BP80" s="37" t="e">
        <v>#N/A</v>
      </c>
      <c r="BQ80" s="72" t="s">
        <v>210</v>
      </c>
      <c r="BR80" s="72" t="s">
        <v>104</v>
      </c>
      <c r="BS80" s="72" t="s">
        <v>208</v>
      </c>
      <c r="BT80" s="72" t="s">
        <v>33</v>
      </c>
      <c r="BU80" s="72" t="b">
        <v>0</v>
      </c>
      <c r="BV80" s="72" t="b">
        <v>0</v>
      </c>
      <c r="BW80" s="72" t="b">
        <v>0</v>
      </c>
      <c r="BX80" s="72" t="b">
        <v>0</v>
      </c>
      <c r="BY80" s="72" t="b">
        <v>0</v>
      </c>
      <c r="BZ80" s="72" t="b">
        <v>0</v>
      </c>
      <c r="CA80" s="72" t="b">
        <v>0</v>
      </c>
      <c r="CB80" s="72" t="b">
        <v>0</v>
      </c>
      <c r="CC80" s="72" t="b">
        <v>1</v>
      </c>
      <c r="CD80" s="72" t="s">
        <v>1125</v>
      </c>
      <c r="CE80" s="72" t="b">
        <v>0</v>
      </c>
      <c r="CF80" s="72" t="b">
        <v>0</v>
      </c>
      <c r="CG80" s="72" t="b">
        <v>0</v>
      </c>
      <c r="CH80" s="72" t="b">
        <v>0</v>
      </c>
      <c r="CI80" s="72" t="b">
        <v>0</v>
      </c>
      <c r="CJ80" s="72" t="b">
        <v>0</v>
      </c>
      <c r="CK80" s="72" t="b">
        <v>0</v>
      </c>
      <c r="CL80" s="72" t="b">
        <v>0</v>
      </c>
      <c r="CM80" s="72" t="b">
        <v>0</v>
      </c>
      <c r="CN80" s="72" t="s">
        <v>211</v>
      </c>
      <c r="CO80" s="75" t="s">
        <v>1624</v>
      </c>
      <c r="CP80" s="37" t="e">
        <v>#N/A</v>
      </c>
      <c r="CQ80" s="37" t="e">
        <v>#N/A</v>
      </c>
      <c r="CR80" s="72" t="s">
        <v>215</v>
      </c>
      <c r="CS80" s="37" t="e">
        <v>#N/A</v>
      </c>
      <c r="CT80" s="37" t="e">
        <v>#N/A</v>
      </c>
      <c r="CU80" s="37" t="e">
        <v>#N/A</v>
      </c>
      <c r="CV80" s="37" t="e">
        <v>#N/A</v>
      </c>
      <c r="CW80" s="72" t="s">
        <v>39</v>
      </c>
      <c r="CX80" s="72" t="b">
        <v>1</v>
      </c>
      <c r="CY80" s="72" t="b">
        <v>1</v>
      </c>
      <c r="CZ80" s="72" t="b">
        <v>1</v>
      </c>
      <c r="DA80" s="72" t="b">
        <v>0</v>
      </c>
      <c r="DB80" s="72" t="b">
        <v>1</v>
      </c>
      <c r="DC80" s="72" t="b">
        <v>0</v>
      </c>
      <c r="DD80" s="72" t="b">
        <v>1</v>
      </c>
      <c r="DE80" s="72" t="b">
        <v>0</v>
      </c>
      <c r="DF80" s="134" t="s">
        <v>1578</v>
      </c>
      <c r="DG80" s="72" t="s">
        <v>1034</v>
      </c>
      <c r="DH80" s="72">
        <v>40718</v>
      </c>
      <c r="DI80" s="72">
        <v>40718</v>
      </c>
      <c r="DJ80" s="72">
        <v>40715</v>
      </c>
      <c r="DK80" s="72">
        <v>40718</v>
      </c>
      <c r="DL80" s="104" t="s">
        <v>231</v>
      </c>
      <c r="DM80" s="39" t="b">
        <f t="shared" si="2"/>
        <v>0</v>
      </c>
      <c r="DN80" s="38" t="str">
        <f t="shared" si="3"/>
        <v>1918_Dien_eine_tung _5 M_200_bi_F</v>
      </c>
    </row>
    <row r="81" spans="1:118" ht="15.75" customHeight="1" x14ac:dyDescent="0.25">
      <c r="A81" s="37">
        <v>76</v>
      </c>
      <c r="C81" s="87">
        <v>5555</v>
      </c>
      <c r="D81" s="134" t="s">
        <v>1158</v>
      </c>
      <c r="E81" s="72" t="s">
        <v>110</v>
      </c>
      <c r="F81" s="134" t="s">
        <v>1159</v>
      </c>
      <c r="G81" s="134" t="s">
        <v>263</v>
      </c>
      <c r="H81" s="134">
        <v>92637</v>
      </c>
      <c r="I81" s="72" t="s">
        <v>114</v>
      </c>
      <c r="J81" s="134" t="s">
        <v>1160</v>
      </c>
      <c r="K81" s="134" t="s">
        <v>1161</v>
      </c>
      <c r="L81" s="134" t="s">
        <v>1162</v>
      </c>
      <c r="M81" s="134" t="s">
        <v>1163</v>
      </c>
      <c r="N81" s="134" t="s">
        <v>1579</v>
      </c>
      <c r="O81" s="134" t="s">
        <v>1580</v>
      </c>
      <c r="P81" s="134" t="s">
        <v>1581</v>
      </c>
      <c r="Q81" s="134" t="s">
        <v>1582</v>
      </c>
      <c r="R81" s="72" t="s">
        <v>119</v>
      </c>
      <c r="S81" s="72" t="s">
        <v>122</v>
      </c>
      <c r="T81" s="72" t="e">
        <v>#N/A</v>
      </c>
      <c r="U81" s="72" t="e">
        <v>#N/A</v>
      </c>
      <c r="V81" s="72" t="e">
        <v>#N/A</v>
      </c>
      <c r="W81" s="72" t="e">
        <v>#N/A</v>
      </c>
      <c r="X81" s="72" t="e">
        <v>#N/A</v>
      </c>
      <c r="Y81" s="72" t="s">
        <v>1164</v>
      </c>
      <c r="Z81" s="72" t="s">
        <v>151</v>
      </c>
      <c r="AA81" s="72" t="s">
        <v>157</v>
      </c>
      <c r="AB81" s="102" t="e">
        <v>#N/A</v>
      </c>
      <c r="AC81" s="102" t="e">
        <v>#N/A</v>
      </c>
      <c r="AD81" s="102" t="e">
        <v>#N/A</v>
      </c>
      <c r="AE81" s="102" t="e">
        <v>#N/A</v>
      </c>
      <c r="AF81" s="102" t="e">
        <v>#N/A</v>
      </c>
      <c r="AG81" s="102" t="e">
        <v>#N/A</v>
      </c>
      <c r="AH81" s="72" t="s">
        <v>162</v>
      </c>
      <c r="AI81" s="72" t="s">
        <v>178</v>
      </c>
      <c r="AJ81" s="72" t="s">
        <v>186</v>
      </c>
      <c r="AK81" s="37" t="e">
        <v>#N/A</v>
      </c>
      <c r="AL81" s="72" t="s">
        <v>187</v>
      </c>
      <c r="AM81" s="37" t="e">
        <v>#N/A</v>
      </c>
      <c r="AN81" s="72" t="b">
        <v>0</v>
      </c>
      <c r="AO81" s="72" t="b">
        <v>0</v>
      </c>
      <c r="AP81" s="72" t="b">
        <v>0</v>
      </c>
      <c r="AQ81" s="72" t="b">
        <v>0</v>
      </c>
      <c r="AR81" s="72" t="b">
        <v>0</v>
      </c>
      <c r="AS81" s="72" t="b">
        <v>0</v>
      </c>
      <c r="AT81" s="72" t="b">
        <v>1</v>
      </c>
      <c r="AU81" s="72" t="b">
        <v>1</v>
      </c>
      <c r="AV81" s="72" t="b">
        <v>0</v>
      </c>
      <c r="AW81" s="72" t="b">
        <v>0</v>
      </c>
      <c r="AX81" s="72" t="s">
        <v>194</v>
      </c>
      <c r="AY81" s="72" t="s">
        <v>199</v>
      </c>
      <c r="AZ81" s="72" t="s">
        <v>199</v>
      </c>
      <c r="BA81" s="72" t="s">
        <v>199</v>
      </c>
      <c r="BB81" s="72" t="s">
        <v>199</v>
      </c>
      <c r="BC81" s="72" t="s">
        <v>199</v>
      </c>
      <c r="BD81" s="72" t="s">
        <v>199</v>
      </c>
      <c r="BE81" s="37" t="e">
        <v>#N/A</v>
      </c>
      <c r="BF81" s="72" t="s">
        <v>202</v>
      </c>
      <c r="BG81" s="37" t="e">
        <v>#N/A</v>
      </c>
      <c r="BH81" s="37" t="e">
        <v>#N/A</v>
      </c>
      <c r="BI81" s="37" t="e">
        <v>#N/A</v>
      </c>
      <c r="BJ81" s="37" t="e">
        <v>#N/A</v>
      </c>
      <c r="BK81" s="37" t="e">
        <v>#N/A</v>
      </c>
      <c r="BL81" s="37" t="e">
        <v>#N/A</v>
      </c>
      <c r="BM81" s="37" t="e">
        <v>#N/A</v>
      </c>
      <c r="BN81" s="37" t="e">
        <v>#N/A</v>
      </c>
      <c r="BO81" s="37" t="e">
        <v>#N/A</v>
      </c>
      <c r="BP81" s="37" t="e">
        <v>#N/A</v>
      </c>
      <c r="BQ81" s="72" t="s">
        <v>209</v>
      </c>
      <c r="BR81" s="72" t="s">
        <v>104</v>
      </c>
      <c r="BS81" s="72" t="s">
        <v>209</v>
      </c>
      <c r="BT81" s="72" t="s">
        <v>33</v>
      </c>
      <c r="BU81" s="72" t="b">
        <v>0</v>
      </c>
      <c r="BV81" s="72" t="b">
        <v>0</v>
      </c>
      <c r="BW81" s="72" t="b">
        <v>0</v>
      </c>
      <c r="BX81" s="72" t="b">
        <v>0</v>
      </c>
      <c r="BY81" s="72" t="b">
        <v>0</v>
      </c>
      <c r="BZ81" s="72" t="b">
        <v>0</v>
      </c>
      <c r="CA81" s="72" t="b">
        <v>0</v>
      </c>
      <c r="CB81" s="72" t="b">
        <v>0</v>
      </c>
      <c r="CC81" s="72" t="b">
        <v>1</v>
      </c>
      <c r="CD81" s="37" t="e">
        <v>#N/A</v>
      </c>
      <c r="CE81" s="72" t="b">
        <v>0</v>
      </c>
      <c r="CF81" s="72" t="b">
        <v>0</v>
      </c>
      <c r="CG81" s="72" t="b">
        <v>0</v>
      </c>
      <c r="CH81" s="72" t="b">
        <v>0</v>
      </c>
      <c r="CI81" s="72" t="b">
        <v>0</v>
      </c>
      <c r="CJ81" s="72" t="b">
        <v>0</v>
      </c>
      <c r="CK81" s="72" t="b">
        <v>0</v>
      </c>
      <c r="CL81" s="72" t="b">
        <v>0</v>
      </c>
      <c r="CM81" s="72" t="b">
        <v>0</v>
      </c>
      <c r="CN81" s="72" t="s">
        <v>211</v>
      </c>
      <c r="CO81" s="75" t="s">
        <v>213</v>
      </c>
      <c r="CP81" s="37" t="e">
        <v>#N/A</v>
      </c>
      <c r="CQ81" s="37" t="e">
        <v>#N/A</v>
      </c>
      <c r="CR81" s="37" t="e">
        <v>#N/A</v>
      </c>
      <c r="CS81" s="37" t="e">
        <v>#N/A</v>
      </c>
      <c r="CT81" s="37" t="e">
        <v>#N/A</v>
      </c>
      <c r="CU81" s="37" t="e">
        <v>#N/A</v>
      </c>
      <c r="CV81" s="37" t="e">
        <v>#N/A</v>
      </c>
      <c r="CW81" s="37" t="e">
        <v>#N/A</v>
      </c>
      <c r="CX81" s="72" t="b">
        <v>1</v>
      </c>
      <c r="CY81" s="72" t="b">
        <v>0</v>
      </c>
      <c r="CZ81" s="72" t="b">
        <v>1</v>
      </c>
      <c r="DA81" s="72" t="b">
        <v>0</v>
      </c>
      <c r="DB81" s="72" t="b">
        <v>0</v>
      </c>
      <c r="DC81" s="72" t="b">
        <v>1</v>
      </c>
      <c r="DD81" s="72" t="b">
        <v>0</v>
      </c>
      <c r="DE81" s="72" t="b">
        <v>0</v>
      </c>
      <c r="DF81" s="134" t="s">
        <v>1583</v>
      </c>
      <c r="DG81" s="72" t="s">
        <v>1165</v>
      </c>
      <c r="DH81" s="72">
        <v>40668</v>
      </c>
      <c r="DI81" s="72">
        <v>40710</v>
      </c>
      <c r="DJ81" s="72" t="s">
        <v>1166</v>
      </c>
      <c r="DK81" s="72">
        <v>40675</v>
      </c>
      <c r="DL81" s="104" t="s">
        <v>276</v>
      </c>
      <c r="DM81" s="39" t="b">
        <f t="shared" si="2"/>
        <v>0</v>
      </c>
      <c r="DN81" s="38" t="str">
        <f t="shared" si="3"/>
        <v>5555_Dien_XXXX_andel_übe_ab _bi_F</v>
      </c>
    </row>
    <row r="82" spans="1:118" ht="15.75" customHeight="1" x14ac:dyDescent="0.25">
      <c r="A82" s="37">
        <v>77</v>
      </c>
      <c r="C82" s="87">
        <v>4444</v>
      </c>
      <c r="D82" s="134" t="s">
        <v>1167</v>
      </c>
      <c r="E82" s="72" t="s">
        <v>110</v>
      </c>
      <c r="F82" s="134" t="s">
        <v>1168</v>
      </c>
      <c r="G82" s="134" t="s">
        <v>263</v>
      </c>
      <c r="H82" s="134">
        <v>92637</v>
      </c>
      <c r="I82" s="72" t="s">
        <v>114</v>
      </c>
      <c r="J82" s="134" t="s">
        <v>1169</v>
      </c>
      <c r="K82" s="134" t="s">
        <v>1170</v>
      </c>
      <c r="L82" s="134" t="e">
        <v>#N/A</v>
      </c>
      <c r="M82" s="134" t="s">
        <v>1171</v>
      </c>
      <c r="N82" s="134" t="s">
        <v>1584</v>
      </c>
      <c r="O82" s="134" t="s">
        <v>1172</v>
      </c>
      <c r="P82" s="134" t="s">
        <v>1585</v>
      </c>
      <c r="Q82" s="134" t="s">
        <v>1586</v>
      </c>
      <c r="R82" s="72" t="s">
        <v>119</v>
      </c>
      <c r="S82" s="72" t="s">
        <v>121</v>
      </c>
      <c r="T82" s="72" t="e">
        <v>#N/A</v>
      </c>
      <c r="U82" s="72" t="e">
        <v>#N/A</v>
      </c>
      <c r="V82" s="72" t="e">
        <v>#N/A</v>
      </c>
      <c r="W82" s="72" t="e">
        <v>#N/A</v>
      </c>
      <c r="X82" s="72" t="e">
        <v>#N/A</v>
      </c>
      <c r="Y82" s="72" t="s">
        <v>1173</v>
      </c>
      <c r="Z82" s="72" t="s">
        <v>148</v>
      </c>
      <c r="AA82" s="72" t="s">
        <v>159</v>
      </c>
      <c r="AB82" s="102" t="e">
        <v>#N/A</v>
      </c>
      <c r="AC82" s="102" t="e">
        <v>#N/A</v>
      </c>
      <c r="AD82" s="102" t="e">
        <v>#N/A</v>
      </c>
      <c r="AE82" s="102" t="e">
        <v>#N/A</v>
      </c>
      <c r="AF82" s="102" t="e">
        <v>#N/A</v>
      </c>
      <c r="AG82" s="102" t="e">
        <v>#N/A</v>
      </c>
      <c r="AH82" s="72" t="s">
        <v>162</v>
      </c>
      <c r="AI82" s="72" t="s">
        <v>177</v>
      </c>
      <c r="AJ82" s="72" t="s">
        <v>181</v>
      </c>
      <c r="AK82" s="37" t="e">
        <v>#N/A</v>
      </c>
      <c r="AL82" s="72" t="s">
        <v>188</v>
      </c>
      <c r="AM82" s="37" t="e">
        <v>#N/A</v>
      </c>
      <c r="AN82" s="72" t="b">
        <v>0</v>
      </c>
      <c r="AO82" s="72" t="b">
        <v>0</v>
      </c>
      <c r="AP82" s="72" t="b">
        <v>0</v>
      </c>
      <c r="AQ82" s="72" t="b">
        <v>0</v>
      </c>
      <c r="AR82" s="72" t="b">
        <v>0</v>
      </c>
      <c r="AS82" s="72" t="b">
        <v>0</v>
      </c>
      <c r="AT82" s="72" t="b">
        <v>1</v>
      </c>
      <c r="AU82" s="72" t="b">
        <v>0</v>
      </c>
      <c r="AV82" s="72" t="b">
        <v>0</v>
      </c>
      <c r="AW82" s="72" t="b">
        <v>0</v>
      </c>
      <c r="AX82" s="72" t="s">
        <v>195</v>
      </c>
      <c r="AY82" s="72" t="s">
        <v>199</v>
      </c>
      <c r="AZ82" s="72" t="s">
        <v>199</v>
      </c>
      <c r="BA82" s="72" t="s">
        <v>199</v>
      </c>
      <c r="BB82" s="72" t="s">
        <v>199</v>
      </c>
      <c r="BC82" s="72" t="s">
        <v>199</v>
      </c>
      <c r="BD82" s="72" t="s">
        <v>199</v>
      </c>
      <c r="BE82" s="72" t="s">
        <v>1174</v>
      </c>
      <c r="BF82" s="37" t="e">
        <v>#N/A</v>
      </c>
      <c r="BG82" s="37" t="e">
        <v>#N/A</v>
      </c>
      <c r="BH82" s="37" t="e">
        <v>#N/A</v>
      </c>
      <c r="BI82" s="72" t="s">
        <v>202</v>
      </c>
      <c r="BJ82" s="37" t="e">
        <v>#N/A</v>
      </c>
      <c r="BK82" s="37" t="e">
        <v>#N/A</v>
      </c>
      <c r="BL82" s="37" t="e">
        <v>#N/A</v>
      </c>
      <c r="BM82" s="37" t="e">
        <v>#N/A</v>
      </c>
      <c r="BN82" s="37" t="e">
        <v>#N/A</v>
      </c>
      <c r="BO82" s="37" t="e">
        <v>#N/A</v>
      </c>
      <c r="BP82" s="37" t="e">
        <v>#N/A</v>
      </c>
      <c r="BQ82" s="72" t="s">
        <v>210</v>
      </c>
      <c r="BR82" s="72" t="s">
        <v>104</v>
      </c>
      <c r="BS82" s="72" t="s">
        <v>104</v>
      </c>
      <c r="BT82" s="72" t="s">
        <v>39</v>
      </c>
      <c r="BU82" s="72" t="b">
        <v>0</v>
      </c>
      <c r="BV82" s="72" t="b">
        <v>0</v>
      </c>
      <c r="BW82" s="72" t="b">
        <v>0</v>
      </c>
      <c r="BX82" s="72" t="b">
        <v>0</v>
      </c>
      <c r="BY82" s="72" t="b">
        <v>0</v>
      </c>
      <c r="BZ82" s="72" t="b">
        <v>0</v>
      </c>
      <c r="CA82" s="72" t="b">
        <v>0</v>
      </c>
      <c r="CB82" s="72" t="b">
        <v>0</v>
      </c>
      <c r="CC82" s="72" t="b">
        <v>1</v>
      </c>
      <c r="CD82" s="37" t="e">
        <v>#N/A</v>
      </c>
      <c r="CE82" s="72" t="b">
        <v>0</v>
      </c>
      <c r="CF82" s="72" t="b">
        <v>0</v>
      </c>
      <c r="CG82" s="72" t="b">
        <v>0</v>
      </c>
      <c r="CH82" s="72" t="b">
        <v>0</v>
      </c>
      <c r="CI82" s="72" t="b">
        <v>0</v>
      </c>
      <c r="CJ82" s="72" t="b">
        <v>0</v>
      </c>
      <c r="CK82" s="72" t="b">
        <v>0</v>
      </c>
      <c r="CL82" s="72" t="b">
        <v>0</v>
      </c>
      <c r="CM82" s="72" t="b">
        <v>0</v>
      </c>
      <c r="CN82" s="72" t="s">
        <v>39</v>
      </c>
      <c r="CO82" s="58" t="e">
        <v>#N/A</v>
      </c>
      <c r="CP82" s="37" t="e">
        <v>#N/A</v>
      </c>
      <c r="CQ82" s="37" t="e">
        <v>#N/A</v>
      </c>
      <c r="CR82" s="37" t="e">
        <v>#N/A</v>
      </c>
      <c r="CS82" s="37" t="e">
        <v>#N/A</v>
      </c>
      <c r="CT82" s="37" t="e">
        <v>#N/A</v>
      </c>
      <c r="CU82" s="37" t="e">
        <v>#N/A</v>
      </c>
      <c r="CV82" s="37" t="e">
        <v>#N/A</v>
      </c>
      <c r="CW82" s="37" t="e">
        <v>#N/A</v>
      </c>
      <c r="CX82" s="72" t="b">
        <v>0</v>
      </c>
      <c r="CY82" s="72" t="b">
        <v>0</v>
      </c>
      <c r="CZ82" s="72" t="b">
        <v>0</v>
      </c>
      <c r="DA82" s="72" t="b">
        <v>0</v>
      </c>
      <c r="DB82" s="72" t="b">
        <v>0</v>
      </c>
      <c r="DC82" s="72" t="b">
        <v>0</v>
      </c>
      <c r="DD82" s="72" t="b">
        <v>0</v>
      </c>
      <c r="DE82" s="72" t="b">
        <v>0</v>
      </c>
      <c r="DF82" s="102" t="e">
        <v>#N/A</v>
      </c>
      <c r="DG82" s="72" t="s">
        <v>1172</v>
      </c>
      <c r="DH82" s="72">
        <v>40667</v>
      </c>
      <c r="DI82" s="72">
        <v>40710</v>
      </c>
      <c r="DJ82" s="72">
        <v>40668</v>
      </c>
      <c r="DK82" s="72">
        <v>40679</v>
      </c>
      <c r="DL82" s="104" t="s">
        <v>276</v>
      </c>
      <c r="DM82" s="39" t="b">
        <f t="shared" si="2"/>
        <v>0</v>
      </c>
      <c r="DN82" s="38" t="str">
        <f t="shared" si="3"/>
        <v>4444_Dien_XXXX_andel_5 M_20 _10_F</v>
      </c>
    </row>
    <row r="83" spans="1:118" ht="15.75" customHeight="1" x14ac:dyDescent="0.25">
      <c r="A83" s="37">
        <v>78</v>
      </c>
      <c r="C83" s="105">
        <v>5729</v>
      </c>
      <c r="D83" s="134" t="s">
        <v>1176</v>
      </c>
      <c r="E83" s="72" t="s">
        <v>110</v>
      </c>
      <c r="F83" s="134" t="s">
        <v>1177</v>
      </c>
      <c r="G83" s="134" t="s">
        <v>496</v>
      </c>
      <c r="H83" s="134">
        <v>92507</v>
      </c>
      <c r="I83" s="72" t="s">
        <v>114</v>
      </c>
      <c r="J83" s="134" t="s">
        <v>1178</v>
      </c>
      <c r="K83" s="134" t="s">
        <v>1179</v>
      </c>
      <c r="L83" s="134" t="e">
        <v>#N/A</v>
      </c>
      <c r="M83" s="134" t="e">
        <v>#N/A</v>
      </c>
      <c r="N83" s="102" t="e">
        <v>#N/A</v>
      </c>
      <c r="O83" s="134" t="s">
        <v>1587</v>
      </c>
      <c r="P83" s="134" t="s">
        <v>1588</v>
      </c>
      <c r="Q83" s="134" t="s">
        <v>1589</v>
      </c>
      <c r="R83" s="72" t="s">
        <v>118</v>
      </c>
      <c r="S83" s="72" t="e">
        <v>#N/A</v>
      </c>
      <c r="T83" s="72" t="e">
        <v>#N/A</v>
      </c>
      <c r="U83" s="72" t="s">
        <v>128</v>
      </c>
      <c r="V83" s="72" t="e">
        <v>#N/A</v>
      </c>
      <c r="W83" s="72" t="e">
        <v>#N/A</v>
      </c>
      <c r="X83" s="72" t="e">
        <v>#N/A</v>
      </c>
      <c r="Y83" s="72" t="s">
        <v>1180</v>
      </c>
      <c r="Z83" s="37" t="e">
        <v>#N/A</v>
      </c>
      <c r="AA83" s="37" t="e">
        <v>#N/A</v>
      </c>
      <c r="AB83" s="102" t="e">
        <v>#N/A</v>
      </c>
      <c r="AC83" s="102" t="e">
        <v>#N/A</v>
      </c>
      <c r="AD83" s="102" t="e">
        <v>#N/A</v>
      </c>
      <c r="AE83" s="102" t="e">
        <v>#N/A</v>
      </c>
      <c r="AF83" s="102" t="e">
        <v>#N/A</v>
      </c>
      <c r="AG83" s="102" t="e">
        <v>#N/A</v>
      </c>
      <c r="AH83" s="72" t="s">
        <v>161</v>
      </c>
      <c r="AI83" s="72" t="s">
        <v>177</v>
      </c>
      <c r="AJ83" s="72" t="s">
        <v>184</v>
      </c>
      <c r="AK83" s="72">
        <v>270</v>
      </c>
      <c r="AL83" s="72" t="s">
        <v>187</v>
      </c>
      <c r="AM83" s="37" t="e">
        <v>#N/A</v>
      </c>
      <c r="AN83" s="72" t="b">
        <v>0</v>
      </c>
      <c r="AO83" s="72" t="b">
        <v>0</v>
      </c>
      <c r="AP83" s="72" t="b">
        <v>0</v>
      </c>
      <c r="AQ83" s="72" t="b">
        <v>0</v>
      </c>
      <c r="AR83" s="72" t="b">
        <v>0</v>
      </c>
      <c r="AS83" s="72" t="b">
        <v>0</v>
      </c>
      <c r="AT83" s="72" t="b">
        <v>0</v>
      </c>
      <c r="AU83" s="72" t="b">
        <v>0</v>
      </c>
      <c r="AV83" s="72" t="b">
        <v>0</v>
      </c>
      <c r="AW83" s="72" t="b">
        <v>0</v>
      </c>
      <c r="AX83" s="37" t="e">
        <v>#N/A</v>
      </c>
      <c r="AY83" s="72" t="s">
        <v>196</v>
      </c>
      <c r="AZ83" s="37" t="e">
        <v>#N/A</v>
      </c>
      <c r="BA83" s="37" t="e">
        <v>#N/A</v>
      </c>
      <c r="BB83" s="37" t="e">
        <v>#N/A</v>
      </c>
      <c r="BC83" s="37" t="e">
        <v>#N/A</v>
      </c>
      <c r="BD83" s="37" t="e">
        <v>#N/A</v>
      </c>
      <c r="BE83" s="37" t="e">
        <v>#N/A</v>
      </c>
      <c r="BF83" s="37" t="e">
        <v>#N/A</v>
      </c>
      <c r="BG83" s="37" t="e">
        <v>#N/A</v>
      </c>
      <c r="BH83" s="37" t="e">
        <v>#N/A</v>
      </c>
      <c r="BI83" s="37" t="e">
        <v>#N/A</v>
      </c>
      <c r="BJ83" s="37" t="e">
        <v>#N/A</v>
      </c>
      <c r="BK83" s="37" t="e">
        <v>#N/A</v>
      </c>
      <c r="BL83" s="37" t="e">
        <v>#N/A</v>
      </c>
      <c r="BM83" s="37" t="e">
        <v>#N/A</v>
      </c>
      <c r="BN83" s="37" t="e">
        <v>#N/A</v>
      </c>
      <c r="BO83" s="37" t="e">
        <v>#N/A</v>
      </c>
      <c r="BP83" s="37" t="e">
        <v>#N/A</v>
      </c>
      <c r="BQ83" s="72" t="s">
        <v>208</v>
      </c>
      <c r="BR83" s="37" t="e">
        <v>#N/A</v>
      </c>
      <c r="BS83" s="72" t="s">
        <v>209</v>
      </c>
      <c r="BT83" s="72" t="s">
        <v>33</v>
      </c>
      <c r="BU83" s="72" t="b">
        <v>0</v>
      </c>
      <c r="BV83" s="72" t="b">
        <v>0</v>
      </c>
      <c r="BW83" s="72" t="b">
        <v>0</v>
      </c>
      <c r="BX83" s="72" t="b">
        <v>0</v>
      </c>
      <c r="BY83" s="72" t="b">
        <v>0</v>
      </c>
      <c r="BZ83" s="72" t="b">
        <v>0</v>
      </c>
      <c r="CA83" s="72" t="b">
        <v>0</v>
      </c>
      <c r="CB83" s="72" t="b">
        <v>0</v>
      </c>
      <c r="CC83" s="72" t="b">
        <v>1</v>
      </c>
      <c r="CD83" s="37" t="e">
        <v>#N/A</v>
      </c>
      <c r="CE83" s="72" t="b">
        <v>0</v>
      </c>
      <c r="CF83" s="72" t="b">
        <v>0</v>
      </c>
      <c r="CG83" s="72" t="b">
        <v>0</v>
      </c>
      <c r="CH83" s="72" t="b">
        <v>0</v>
      </c>
      <c r="CI83" s="72" t="b">
        <v>0</v>
      </c>
      <c r="CJ83" s="72" t="b">
        <v>0</v>
      </c>
      <c r="CK83" s="72" t="b">
        <v>0</v>
      </c>
      <c r="CL83" s="72" t="b">
        <v>0</v>
      </c>
      <c r="CM83" s="72" t="b">
        <v>0</v>
      </c>
      <c r="CN83" s="72" t="s">
        <v>39</v>
      </c>
      <c r="CO83" s="58" t="e">
        <v>#N/A</v>
      </c>
      <c r="CP83" s="37" t="e">
        <v>#N/A</v>
      </c>
      <c r="CQ83" s="37" t="e">
        <v>#N/A</v>
      </c>
      <c r="CR83" s="37" t="e">
        <v>#N/A</v>
      </c>
      <c r="CS83" s="37" t="e">
        <v>#N/A</v>
      </c>
      <c r="CT83" s="37" t="e">
        <v>#N/A</v>
      </c>
      <c r="CU83" s="37" t="e">
        <v>#N/A</v>
      </c>
      <c r="CV83" s="37" t="e">
        <v>#N/A</v>
      </c>
      <c r="CW83" s="37" t="e">
        <v>#N/A</v>
      </c>
      <c r="CX83" s="72" t="b">
        <v>0</v>
      </c>
      <c r="CY83" s="72" t="b">
        <v>0</v>
      </c>
      <c r="CZ83" s="72" t="b">
        <v>0</v>
      </c>
      <c r="DA83" s="72" t="b">
        <v>0</v>
      </c>
      <c r="DB83" s="72" t="b">
        <v>0</v>
      </c>
      <c r="DC83" s="72" t="b">
        <v>0</v>
      </c>
      <c r="DD83" s="72" t="b">
        <v>0</v>
      </c>
      <c r="DE83" s="72" t="b">
        <v>0</v>
      </c>
      <c r="DF83" s="102" t="e">
        <v>#N/A</v>
      </c>
      <c r="DG83" s="72" t="s">
        <v>1034</v>
      </c>
      <c r="DH83" s="72">
        <v>40716</v>
      </c>
      <c r="DI83" s="72">
        <v>40721</v>
      </c>
      <c r="DJ83" s="72">
        <v>40716</v>
      </c>
      <c r="DK83" s="72">
        <v>40721</v>
      </c>
      <c r="DL83" s="104" t="s">
        <v>231</v>
      </c>
      <c r="DM83" s="39" t="b">
        <f t="shared" si="2"/>
        <v>0</v>
      </c>
      <c r="DN83" s="38" t="str">
        <f t="shared" si="3"/>
        <v>5729_Indu_Z 25_ktion_5 M_200_bi_F</v>
      </c>
    </row>
    <row r="84" spans="1:118" ht="15.75" customHeight="1" x14ac:dyDescent="0.25">
      <c r="A84" s="37">
        <v>79</v>
      </c>
      <c r="C84" s="105">
        <v>1826</v>
      </c>
      <c r="D84" s="134" t="s">
        <v>1181</v>
      </c>
      <c r="E84" s="72" t="s">
        <v>110</v>
      </c>
      <c r="F84" s="134" t="s">
        <v>1182</v>
      </c>
      <c r="G84" s="134" t="s">
        <v>547</v>
      </c>
      <c r="H84" s="134">
        <v>92442</v>
      </c>
      <c r="I84" s="72" t="s">
        <v>114</v>
      </c>
      <c r="J84" s="134" t="s">
        <v>1183</v>
      </c>
      <c r="K84" s="134" t="s">
        <v>1184</v>
      </c>
      <c r="L84" s="134" t="e">
        <v>#N/A</v>
      </c>
      <c r="M84" s="134" t="s">
        <v>1185</v>
      </c>
      <c r="N84" s="134" t="s">
        <v>1590</v>
      </c>
      <c r="O84" s="134" t="s">
        <v>1591</v>
      </c>
      <c r="P84" s="134" t="s">
        <v>1592</v>
      </c>
      <c r="Q84" s="134" t="s">
        <v>1593</v>
      </c>
      <c r="R84" s="72" t="s">
        <v>118</v>
      </c>
      <c r="S84" s="72" t="e">
        <v>#N/A</v>
      </c>
      <c r="T84" s="72" t="e">
        <v>#N/A</v>
      </c>
      <c r="U84" s="72" t="s">
        <v>624</v>
      </c>
      <c r="V84" s="72" t="s">
        <v>128</v>
      </c>
      <c r="W84" s="72" t="s">
        <v>142</v>
      </c>
      <c r="X84" s="72" t="e">
        <v>#N/A</v>
      </c>
      <c r="Y84" s="72" t="s">
        <v>1186</v>
      </c>
      <c r="Z84" s="72" t="s">
        <v>148</v>
      </c>
      <c r="AA84" s="72" t="s">
        <v>158</v>
      </c>
      <c r="AB84" s="102" t="e">
        <v>#N/A</v>
      </c>
      <c r="AC84" s="134" t="s">
        <v>1594</v>
      </c>
      <c r="AD84" s="134" t="s">
        <v>1595</v>
      </c>
      <c r="AE84" s="102" t="e">
        <v>#N/A</v>
      </c>
      <c r="AF84" s="102" t="e">
        <v>#N/A</v>
      </c>
      <c r="AG84" s="102" t="e">
        <v>#N/A</v>
      </c>
      <c r="AH84" s="72" t="s">
        <v>161</v>
      </c>
      <c r="AI84" s="72" t="s">
        <v>177</v>
      </c>
      <c r="AJ84" s="72" t="s">
        <v>183</v>
      </c>
      <c r="AK84" s="37" t="e">
        <v>#N/A</v>
      </c>
      <c r="AL84" s="72" t="s">
        <v>188</v>
      </c>
      <c r="AM84" s="37" t="e">
        <v>#N/A</v>
      </c>
      <c r="AN84" s="72" t="b">
        <v>1</v>
      </c>
      <c r="AO84" s="72" t="b">
        <v>0</v>
      </c>
      <c r="AP84" s="72" t="b">
        <v>0</v>
      </c>
      <c r="AQ84" s="72" t="b">
        <v>0</v>
      </c>
      <c r="AR84" s="72" t="b">
        <v>0</v>
      </c>
      <c r="AS84" s="72" t="b">
        <v>1</v>
      </c>
      <c r="AT84" s="72" t="b">
        <v>0</v>
      </c>
      <c r="AU84" s="72" t="b">
        <v>0</v>
      </c>
      <c r="AV84" s="72" t="b">
        <v>0</v>
      </c>
      <c r="AW84" s="72" t="b">
        <v>0</v>
      </c>
      <c r="AX84" s="72" t="s">
        <v>195</v>
      </c>
      <c r="AY84" s="72" t="s">
        <v>196</v>
      </c>
      <c r="AZ84" s="37" t="e">
        <v>#N/A</v>
      </c>
      <c r="BA84" s="37" t="e">
        <v>#N/A</v>
      </c>
      <c r="BB84" s="72" t="s">
        <v>196</v>
      </c>
      <c r="BC84" s="37" t="e">
        <v>#N/A</v>
      </c>
      <c r="BD84" s="37" t="e">
        <v>#N/A</v>
      </c>
      <c r="BE84" s="72" t="s">
        <v>249</v>
      </c>
      <c r="BF84" s="37" t="e">
        <v>#N/A</v>
      </c>
      <c r="BG84" s="37" t="e">
        <v>#N/A</v>
      </c>
      <c r="BH84" s="37" t="e">
        <v>#N/A</v>
      </c>
      <c r="BI84" s="72" t="s">
        <v>1187</v>
      </c>
      <c r="BJ84" s="37" t="e">
        <v>#N/A</v>
      </c>
      <c r="BK84" s="37" t="e">
        <v>#N/A</v>
      </c>
      <c r="BL84" s="37" t="e">
        <v>#N/A</v>
      </c>
      <c r="BM84" s="72" t="s">
        <v>205</v>
      </c>
      <c r="BN84" s="37" t="e">
        <v>#N/A</v>
      </c>
      <c r="BO84" s="37" t="e">
        <v>#N/A</v>
      </c>
      <c r="BP84" s="37" t="e">
        <v>#N/A</v>
      </c>
      <c r="BQ84" s="72" t="s">
        <v>210</v>
      </c>
      <c r="BR84" s="37" t="e">
        <v>#N/A</v>
      </c>
      <c r="BS84" s="72" t="s">
        <v>209</v>
      </c>
      <c r="BT84" s="72" t="s">
        <v>33</v>
      </c>
      <c r="BU84" s="72" t="b">
        <v>0</v>
      </c>
      <c r="BV84" s="72" t="b">
        <v>0</v>
      </c>
      <c r="BW84" s="72" t="b">
        <v>0</v>
      </c>
      <c r="BX84" s="72" t="b">
        <v>0</v>
      </c>
      <c r="BY84" s="72" t="b">
        <v>0</v>
      </c>
      <c r="BZ84" s="72" t="b">
        <v>0</v>
      </c>
      <c r="CA84" s="72" t="b">
        <v>0</v>
      </c>
      <c r="CB84" s="72" t="b">
        <v>0</v>
      </c>
      <c r="CC84" s="72" t="b">
        <v>1</v>
      </c>
      <c r="CD84" s="37" t="e">
        <v>#N/A</v>
      </c>
      <c r="CE84" s="72" t="b">
        <v>0</v>
      </c>
      <c r="CF84" s="72" t="b">
        <v>0</v>
      </c>
      <c r="CG84" s="72" t="b">
        <v>0</v>
      </c>
      <c r="CH84" s="72" t="b">
        <v>0</v>
      </c>
      <c r="CI84" s="72" t="b">
        <v>0</v>
      </c>
      <c r="CJ84" s="72" t="b">
        <v>0</v>
      </c>
      <c r="CK84" s="72" t="b">
        <v>0</v>
      </c>
      <c r="CL84" s="72" t="b">
        <v>0</v>
      </c>
      <c r="CM84" s="72" t="b">
        <v>0</v>
      </c>
      <c r="CN84" s="72" t="s">
        <v>39</v>
      </c>
      <c r="CO84" s="58" t="e">
        <v>#N/A</v>
      </c>
      <c r="CP84" s="37" t="e">
        <v>#N/A</v>
      </c>
      <c r="CQ84" s="37" t="e">
        <v>#N/A</v>
      </c>
      <c r="CR84" s="37" t="e">
        <v>#N/A</v>
      </c>
      <c r="CS84" s="37" t="e">
        <v>#N/A</v>
      </c>
      <c r="CT84" s="37" t="e">
        <v>#N/A</v>
      </c>
      <c r="CU84" s="37" t="e">
        <v>#N/A</v>
      </c>
      <c r="CV84" s="37" t="e">
        <v>#N/A</v>
      </c>
      <c r="CW84" s="37" t="e">
        <v>#N/A</v>
      </c>
      <c r="CX84" s="72" t="b">
        <v>0</v>
      </c>
      <c r="CY84" s="72" t="b">
        <v>1</v>
      </c>
      <c r="CZ84" s="72" t="b">
        <v>1</v>
      </c>
      <c r="DA84" s="72" t="b">
        <v>0</v>
      </c>
      <c r="DB84" s="72" t="b">
        <v>0</v>
      </c>
      <c r="DC84" s="72" t="b">
        <v>0</v>
      </c>
      <c r="DD84" s="72" t="b">
        <v>0</v>
      </c>
      <c r="DE84" s="72" t="b">
        <v>0</v>
      </c>
      <c r="DF84" s="102" t="e">
        <v>#N/A</v>
      </c>
      <c r="DG84" s="72" t="s">
        <v>1188</v>
      </c>
      <c r="DH84" s="72">
        <v>40721</v>
      </c>
      <c r="DI84" s="72">
        <v>40721</v>
      </c>
      <c r="DJ84" s="72">
        <v>40721</v>
      </c>
      <c r="DK84" s="72">
        <v>40721</v>
      </c>
      <c r="DL84" s="104" t="s">
        <v>231</v>
      </c>
      <c r="DM84" s="39" t="b">
        <f t="shared" si="2"/>
        <v>0</v>
      </c>
      <c r="DN84" s="38" t="str">
        <f t="shared" si="3"/>
        <v>1826_Indu_Z 28_ktion_5 M_100_10_F</v>
      </c>
    </row>
    <row r="85" spans="1:118" ht="15.75" customHeight="1" x14ac:dyDescent="0.25">
      <c r="A85" s="37">
        <v>80</v>
      </c>
      <c r="C85" s="105">
        <v>8222</v>
      </c>
      <c r="D85" s="134" t="s">
        <v>1189</v>
      </c>
      <c r="E85" s="72" t="s">
        <v>109</v>
      </c>
      <c r="F85" s="134" t="s">
        <v>1190</v>
      </c>
      <c r="G85" s="134" t="s">
        <v>1191</v>
      </c>
      <c r="H85" s="134">
        <v>92245</v>
      </c>
      <c r="I85" s="72" t="s">
        <v>114</v>
      </c>
      <c r="J85" s="134" t="s">
        <v>1192</v>
      </c>
      <c r="K85" s="134" t="s">
        <v>1193</v>
      </c>
      <c r="L85" s="134" t="s">
        <v>1194</v>
      </c>
      <c r="M85" s="134" t="s">
        <v>1195</v>
      </c>
      <c r="N85" s="134" t="s">
        <v>1596</v>
      </c>
      <c r="O85" s="134" t="s">
        <v>1597</v>
      </c>
      <c r="P85" s="134" t="s">
        <v>1598</v>
      </c>
      <c r="Q85" s="134" t="s">
        <v>1599</v>
      </c>
      <c r="R85" s="72" t="s">
        <v>119</v>
      </c>
      <c r="S85" s="72" t="s">
        <v>120</v>
      </c>
      <c r="T85" s="72" t="s">
        <v>121</v>
      </c>
      <c r="U85" s="72" t="s">
        <v>137</v>
      </c>
      <c r="V85" s="72" t="s">
        <v>132</v>
      </c>
      <c r="W85" s="72" t="s">
        <v>141</v>
      </c>
      <c r="X85" s="72" t="s">
        <v>144</v>
      </c>
      <c r="Y85" s="72" t="s">
        <v>258</v>
      </c>
      <c r="Z85" s="72" t="s">
        <v>148</v>
      </c>
      <c r="AA85" s="72" t="s">
        <v>156</v>
      </c>
      <c r="AB85" s="102" t="e">
        <v>#N/A</v>
      </c>
      <c r="AC85" s="102" t="e">
        <v>#N/A</v>
      </c>
      <c r="AD85" s="102" t="e">
        <v>#N/A</v>
      </c>
      <c r="AE85" s="102" t="e">
        <v>#N/A</v>
      </c>
      <c r="AF85" s="102" t="e">
        <v>#N/A</v>
      </c>
      <c r="AG85" s="102" t="e">
        <v>#N/A</v>
      </c>
      <c r="AH85" s="72" t="s">
        <v>168</v>
      </c>
      <c r="AI85" s="72" t="s">
        <v>176</v>
      </c>
      <c r="AJ85" s="72" t="s">
        <v>181</v>
      </c>
      <c r="AK85" s="72">
        <v>33</v>
      </c>
      <c r="AL85" s="72" t="s">
        <v>191</v>
      </c>
      <c r="AM85" s="72">
        <v>17</v>
      </c>
      <c r="AN85" s="72" t="b">
        <v>0</v>
      </c>
      <c r="AO85" s="72" t="b">
        <v>0</v>
      </c>
      <c r="AP85" s="72" t="b">
        <v>0</v>
      </c>
      <c r="AQ85" s="72" t="b">
        <v>0</v>
      </c>
      <c r="AR85" s="72" t="b">
        <v>0</v>
      </c>
      <c r="AS85" s="72" t="b">
        <v>0</v>
      </c>
      <c r="AT85" s="72" t="b">
        <v>1</v>
      </c>
      <c r="AU85" s="72" t="b">
        <v>1</v>
      </c>
      <c r="AV85" s="72" t="b">
        <v>0</v>
      </c>
      <c r="AW85" s="72" t="b">
        <v>0</v>
      </c>
      <c r="AX85" s="72" t="s">
        <v>193</v>
      </c>
      <c r="AY85" s="72" t="s">
        <v>196</v>
      </c>
      <c r="AZ85" s="72" t="s">
        <v>200</v>
      </c>
      <c r="BA85" s="72" t="s">
        <v>198</v>
      </c>
      <c r="BB85" s="72" t="s">
        <v>198</v>
      </c>
      <c r="BC85" s="72" t="s">
        <v>199</v>
      </c>
      <c r="BD85" s="72" t="s">
        <v>199</v>
      </c>
      <c r="BE85" s="72" t="s">
        <v>202</v>
      </c>
      <c r="BF85" s="37" t="e">
        <v>#N/A</v>
      </c>
      <c r="BG85" s="37" t="e">
        <v>#N/A</v>
      </c>
      <c r="BH85" s="72" t="s">
        <v>33</v>
      </c>
      <c r="BI85" s="37" t="e">
        <v>#N/A</v>
      </c>
      <c r="BJ85" s="37" t="e">
        <v>#N/A</v>
      </c>
      <c r="BK85" s="37" t="e">
        <v>#N/A</v>
      </c>
      <c r="BL85" s="37" t="e">
        <v>#N/A</v>
      </c>
      <c r="BM85" s="37" t="e">
        <v>#N/A</v>
      </c>
      <c r="BN85" s="37" t="e">
        <v>#N/A</v>
      </c>
      <c r="BO85" s="37" t="e">
        <v>#N/A</v>
      </c>
      <c r="BP85" s="37" t="e">
        <v>#N/A</v>
      </c>
      <c r="BQ85" s="72" t="s">
        <v>209</v>
      </c>
      <c r="BR85" s="72" t="s">
        <v>104</v>
      </c>
      <c r="BS85" s="72" t="s">
        <v>208</v>
      </c>
      <c r="BT85" s="72" t="s">
        <v>33</v>
      </c>
      <c r="BU85" s="72" t="b">
        <v>0</v>
      </c>
      <c r="BV85" s="72" t="b">
        <v>0</v>
      </c>
      <c r="BW85" s="72" t="b">
        <v>0</v>
      </c>
      <c r="BX85" s="72" t="b">
        <v>0</v>
      </c>
      <c r="BY85" s="72" t="b">
        <v>0</v>
      </c>
      <c r="BZ85" s="72" t="b">
        <v>0</v>
      </c>
      <c r="CA85" s="72" t="b">
        <v>0</v>
      </c>
      <c r="CB85" s="72" t="b">
        <v>0</v>
      </c>
      <c r="CC85" s="72" t="b">
        <v>1</v>
      </c>
      <c r="CD85" s="72" t="s">
        <v>1196</v>
      </c>
      <c r="CE85" s="72" t="b">
        <v>1</v>
      </c>
      <c r="CF85" s="72" t="b">
        <v>1</v>
      </c>
      <c r="CG85" s="72" t="b">
        <v>0</v>
      </c>
      <c r="CH85" s="72" t="b">
        <v>1</v>
      </c>
      <c r="CI85" s="72" t="b">
        <v>1</v>
      </c>
      <c r="CJ85" s="72" t="b">
        <v>0</v>
      </c>
      <c r="CK85" s="72" t="b">
        <v>0</v>
      </c>
      <c r="CL85" s="72" t="b">
        <v>0</v>
      </c>
      <c r="CM85" s="72" t="b">
        <v>0</v>
      </c>
      <c r="CN85" s="72" t="s">
        <v>211</v>
      </c>
      <c r="CO85" s="75" t="s">
        <v>213</v>
      </c>
      <c r="CP85" s="72" t="s">
        <v>1197</v>
      </c>
      <c r="CQ85" s="37" t="e">
        <v>#N/A</v>
      </c>
      <c r="CR85" s="72" t="s">
        <v>215</v>
      </c>
      <c r="CS85" s="37" t="e">
        <v>#N/A</v>
      </c>
      <c r="CT85" s="37" t="e">
        <v>#N/A</v>
      </c>
      <c r="CU85" s="37" t="e">
        <v>#N/A</v>
      </c>
      <c r="CV85" s="37" t="e">
        <v>#N/A</v>
      </c>
      <c r="CW85" s="72" t="s">
        <v>39</v>
      </c>
      <c r="CX85" s="72" t="b">
        <v>1</v>
      </c>
      <c r="CY85" s="72" t="b">
        <v>1</v>
      </c>
      <c r="CZ85" s="72" t="b">
        <v>1</v>
      </c>
      <c r="DA85" s="72" t="b">
        <v>0</v>
      </c>
      <c r="DB85" s="72" t="b">
        <v>1</v>
      </c>
      <c r="DC85" s="72" t="b">
        <v>1</v>
      </c>
      <c r="DD85" s="72" t="b">
        <v>0</v>
      </c>
      <c r="DE85" s="72" t="b">
        <v>0</v>
      </c>
      <c r="DF85" s="134" t="s">
        <v>1600</v>
      </c>
      <c r="DG85" s="72" t="s">
        <v>659</v>
      </c>
      <c r="DH85" s="72">
        <v>40667</v>
      </c>
      <c r="DI85" s="72">
        <v>40722</v>
      </c>
      <c r="DJ85" s="72" t="s">
        <v>384</v>
      </c>
      <c r="DK85" s="72">
        <v>40722</v>
      </c>
      <c r="DL85" s="104" t="s">
        <v>246</v>
      </c>
      <c r="DM85" s="39" t="b">
        <f t="shared" si="2"/>
        <v>1</v>
      </c>
      <c r="DN85" s="38" t="str">
        <f t="shared" si="3"/>
        <v>8222_Dien_Z 52_lment_1 M_20 _50_W</v>
      </c>
    </row>
    <row r="86" spans="1:118" ht="15.75" customHeight="1" x14ac:dyDescent="0.25">
      <c r="A86" s="37">
        <v>81</v>
      </c>
      <c r="C86" s="105">
        <v>7861</v>
      </c>
      <c r="D86" s="134" t="s">
        <v>1198</v>
      </c>
      <c r="E86" s="72" t="s">
        <v>110</v>
      </c>
      <c r="F86" s="134" t="s">
        <v>1199</v>
      </c>
      <c r="G86" s="134" t="s">
        <v>485</v>
      </c>
      <c r="H86" s="134">
        <v>92431</v>
      </c>
      <c r="I86" s="72" t="s">
        <v>114</v>
      </c>
      <c r="J86" s="134" t="s">
        <v>1200</v>
      </c>
      <c r="K86" s="134" t="s">
        <v>1201</v>
      </c>
      <c r="L86" s="134" t="e">
        <v>#N/A</v>
      </c>
      <c r="M86" s="134" t="s">
        <v>1202</v>
      </c>
      <c r="N86" s="134" t="e">
        <v>#N/A</v>
      </c>
      <c r="O86" s="134" t="e">
        <v>#N/A</v>
      </c>
      <c r="P86" s="134" t="e">
        <v>#N/A</v>
      </c>
      <c r="Q86" s="134" t="e">
        <v>#N/A</v>
      </c>
      <c r="R86" s="72" t="s">
        <v>118</v>
      </c>
      <c r="S86" s="72" t="e">
        <v>#N/A</v>
      </c>
      <c r="T86" s="72" t="e">
        <v>#N/A</v>
      </c>
      <c r="U86" s="72" t="s">
        <v>132</v>
      </c>
      <c r="V86" s="72" t="e">
        <v>#N/A</v>
      </c>
      <c r="W86" s="37" t="e">
        <v>#N/A</v>
      </c>
      <c r="X86" s="72" t="e">
        <v>#N/A</v>
      </c>
      <c r="Y86" s="37" t="e">
        <v>#N/A</v>
      </c>
      <c r="Z86" s="72" t="s">
        <v>148</v>
      </c>
      <c r="AA86" s="37" t="e">
        <v>#N/A</v>
      </c>
      <c r="AB86" s="102" t="e">
        <v>#N/A</v>
      </c>
      <c r="AC86" s="102" t="e">
        <v>#N/A</v>
      </c>
      <c r="AD86" s="102" t="e">
        <v>#N/A</v>
      </c>
      <c r="AE86" s="102" t="e">
        <v>#N/A</v>
      </c>
      <c r="AF86" s="102" t="e">
        <v>#N/A</v>
      </c>
      <c r="AG86" s="102" t="e">
        <v>#N/A</v>
      </c>
      <c r="AH86" s="72" t="s">
        <v>161</v>
      </c>
      <c r="AI86" s="37" t="e">
        <v>#N/A</v>
      </c>
      <c r="AJ86" s="72" t="s">
        <v>184</v>
      </c>
      <c r="AK86" s="37" t="e">
        <v>#N/A</v>
      </c>
      <c r="AL86" s="72" t="s">
        <v>188</v>
      </c>
      <c r="AM86" s="37" t="e">
        <v>#N/A</v>
      </c>
      <c r="AN86" s="72" t="b">
        <v>1</v>
      </c>
      <c r="AO86" s="72" t="b">
        <v>0</v>
      </c>
      <c r="AP86" s="72" t="b">
        <v>0</v>
      </c>
      <c r="AQ86" s="72" t="b">
        <v>0</v>
      </c>
      <c r="AR86" s="72" t="b">
        <v>0</v>
      </c>
      <c r="AS86" s="72" t="b">
        <v>0</v>
      </c>
      <c r="AT86" s="72" t="b">
        <v>0</v>
      </c>
      <c r="AU86" s="72" t="b">
        <v>0</v>
      </c>
      <c r="AV86" s="72" t="b">
        <v>0</v>
      </c>
      <c r="AW86" s="72" t="b">
        <v>0</v>
      </c>
      <c r="AX86" s="72" t="s">
        <v>195</v>
      </c>
      <c r="AY86" s="72" t="s">
        <v>196</v>
      </c>
      <c r="AZ86" s="37" t="e">
        <v>#N/A</v>
      </c>
      <c r="BA86" s="37" t="e">
        <v>#N/A</v>
      </c>
      <c r="BB86" s="37" t="e">
        <v>#N/A</v>
      </c>
      <c r="BC86" s="72" t="s">
        <v>196</v>
      </c>
      <c r="BD86" s="37" t="e">
        <v>#N/A</v>
      </c>
      <c r="BE86" s="37" t="e">
        <v>#N/A</v>
      </c>
      <c r="BF86" s="37" t="e">
        <v>#N/A</v>
      </c>
      <c r="BG86" s="37" t="e">
        <v>#N/A</v>
      </c>
      <c r="BH86" s="37" t="e">
        <v>#N/A</v>
      </c>
      <c r="BI86" s="37" t="e">
        <v>#N/A</v>
      </c>
      <c r="BJ86" s="37" t="e">
        <v>#N/A</v>
      </c>
      <c r="BK86" s="37" t="e">
        <v>#N/A</v>
      </c>
      <c r="BL86" s="37" t="e">
        <v>#N/A</v>
      </c>
      <c r="BM86" s="37" t="e">
        <v>#N/A</v>
      </c>
      <c r="BN86" s="37" t="e">
        <v>#N/A</v>
      </c>
      <c r="BO86" s="37" t="e">
        <v>#N/A</v>
      </c>
      <c r="BP86" s="37" t="e">
        <v>#N/A</v>
      </c>
      <c r="BQ86" s="72" t="s">
        <v>210</v>
      </c>
      <c r="BR86" s="37" t="e">
        <v>#N/A</v>
      </c>
      <c r="BS86" s="37" t="e">
        <v>#N/A</v>
      </c>
      <c r="BT86" s="72" t="s">
        <v>33</v>
      </c>
      <c r="BU86" s="72" t="b">
        <v>0</v>
      </c>
      <c r="BV86" s="72" t="b">
        <v>0</v>
      </c>
      <c r="BW86" s="72" t="b">
        <v>0</v>
      </c>
      <c r="BX86" s="72" t="b">
        <v>0</v>
      </c>
      <c r="BY86" s="72" t="b">
        <v>0</v>
      </c>
      <c r="BZ86" s="72" t="b">
        <v>0</v>
      </c>
      <c r="CA86" s="72" t="b">
        <v>0</v>
      </c>
      <c r="CB86" s="72" t="b">
        <v>0</v>
      </c>
      <c r="CC86" s="72" t="b">
        <v>1</v>
      </c>
      <c r="CD86" s="72" t="s">
        <v>651</v>
      </c>
      <c r="CE86" s="72" t="b">
        <v>0</v>
      </c>
      <c r="CF86" s="72" t="b">
        <v>0</v>
      </c>
      <c r="CG86" s="72" t="b">
        <v>0</v>
      </c>
      <c r="CH86" s="72" t="b">
        <v>0</v>
      </c>
      <c r="CI86" s="72" t="b">
        <v>0</v>
      </c>
      <c r="CJ86" s="72" t="b">
        <v>1</v>
      </c>
      <c r="CK86" s="72" t="b">
        <v>0</v>
      </c>
      <c r="CL86" s="72" t="b">
        <v>0</v>
      </c>
      <c r="CM86" s="72" t="b">
        <v>0</v>
      </c>
      <c r="CN86" s="72" t="s">
        <v>39</v>
      </c>
      <c r="CO86" s="58" t="e">
        <v>#N/A</v>
      </c>
      <c r="CP86" s="37" t="e">
        <v>#N/A</v>
      </c>
      <c r="CQ86" s="37" t="e">
        <v>#N/A</v>
      </c>
      <c r="CR86" s="37" t="e">
        <v>#N/A</v>
      </c>
      <c r="CS86" s="37" t="e">
        <v>#N/A</v>
      </c>
      <c r="CT86" s="37" t="e">
        <v>#N/A</v>
      </c>
      <c r="CU86" s="37" t="e">
        <v>#N/A</v>
      </c>
      <c r="CV86" s="37" t="e">
        <v>#N/A</v>
      </c>
      <c r="CW86" s="37" t="e">
        <v>#N/A</v>
      </c>
      <c r="CX86" s="72" t="b">
        <v>0</v>
      </c>
      <c r="CY86" s="72" t="b">
        <v>0</v>
      </c>
      <c r="CZ86" s="72" t="b">
        <v>0</v>
      </c>
      <c r="DA86" s="72" t="b">
        <v>0</v>
      </c>
      <c r="DB86" s="72" t="b">
        <v>1</v>
      </c>
      <c r="DC86" s="72" t="b">
        <v>1</v>
      </c>
      <c r="DD86" s="72" t="b">
        <v>1</v>
      </c>
      <c r="DE86" s="72" t="b">
        <v>1</v>
      </c>
      <c r="DF86" s="102" t="e">
        <v>#N/A</v>
      </c>
      <c r="DG86" s="72" t="s">
        <v>234</v>
      </c>
      <c r="DH86" s="72" t="s">
        <v>233</v>
      </c>
      <c r="DI86" s="72" t="s">
        <v>1203</v>
      </c>
      <c r="DJ86" s="72" t="s">
        <v>1204</v>
      </c>
      <c r="DK86" s="72" t="s">
        <v>1205</v>
      </c>
      <c r="DL86" s="104" t="s">
        <v>231</v>
      </c>
      <c r="DM86" s="39" t="b">
        <f t="shared" si="2"/>
        <v>1</v>
      </c>
      <c r="DN86" s="38" t="str">
        <f t="shared" si="3"/>
        <v>7861_Indu_Z 46_ktion_XXX_200_10_W</v>
      </c>
    </row>
    <row r="87" spans="1:118" ht="15.75" customHeight="1" x14ac:dyDescent="0.25">
      <c r="A87" s="37">
        <v>82</v>
      </c>
      <c r="C87" s="105">
        <v>1545</v>
      </c>
      <c r="D87" s="134" t="s">
        <v>1206</v>
      </c>
      <c r="E87" s="72" t="s">
        <v>109</v>
      </c>
      <c r="F87" s="134" t="s">
        <v>1207</v>
      </c>
      <c r="G87" s="134" t="s">
        <v>1208</v>
      </c>
      <c r="H87" s="134">
        <v>92436</v>
      </c>
      <c r="I87" s="72" t="s">
        <v>114</v>
      </c>
      <c r="J87" s="134" t="s">
        <v>1209</v>
      </c>
      <c r="K87" s="134" t="s">
        <v>1210</v>
      </c>
      <c r="L87" s="134" t="s">
        <v>1211</v>
      </c>
      <c r="M87" s="134" t="s">
        <v>1212</v>
      </c>
      <c r="N87" s="134" t="s">
        <v>1601</v>
      </c>
      <c r="O87" s="134" t="s">
        <v>1602</v>
      </c>
      <c r="P87" s="134" t="s">
        <v>1603</v>
      </c>
      <c r="Q87" s="134" t="s">
        <v>1604</v>
      </c>
      <c r="R87" s="72" t="s">
        <v>118</v>
      </c>
      <c r="S87" s="72" t="e">
        <v>#N/A</v>
      </c>
      <c r="T87" s="72" t="e">
        <v>#N/A</v>
      </c>
      <c r="U87" s="72" t="s">
        <v>128</v>
      </c>
      <c r="V87" s="72" t="e">
        <v>#N/A</v>
      </c>
      <c r="W87" s="37" t="e">
        <v>#N/A</v>
      </c>
      <c r="X87" s="72" t="e">
        <v>#N/A</v>
      </c>
      <c r="Y87" s="72" t="s">
        <v>1213</v>
      </c>
      <c r="Z87" s="72" t="s">
        <v>148</v>
      </c>
      <c r="AA87" s="72" t="s">
        <v>158</v>
      </c>
      <c r="AB87" s="102" t="e">
        <v>#N/A</v>
      </c>
      <c r="AC87" s="102" t="e">
        <v>#N/A</v>
      </c>
      <c r="AD87" s="102" t="e">
        <v>#N/A</v>
      </c>
      <c r="AE87" s="102" t="e">
        <v>#N/A</v>
      </c>
      <c r="AF87" s="102" t="e">
        <v>#N/A</v>
      </c>
      <c r="AG87" s="102" t="e">
        <v>#N/A</v>
      </c>
      <c r="AH87" s="72" t="s">
        <v>161</v>
      </c>
      <c r="AI87" s="72" t="s">
        <v>177</v>
      </c>
      <c r="AJ87" s="72" t="s">
        <v>183</v>
      </c>
      <c r="AK87" s="72">
        <v>100</v>
      </c>
      <c r="AL87" s="72" t="s">
        <v>187</v>
      </c>
      <c r="AM87" s="72">
        <v>5</v>
      </c>
      <c r="AN87" s="72" t="b">
        <v>0</v>
      </c>
      <c r="AO87" s="72" t="b">
        <v>0</v>
      </c>
      <c r="AP87" s="72" t="b">
        <v>0</v>
      </c>
      <c r="AQ87" s="72" t="b">
        <v>0</v>
      </c>
      <c r="AR87" s="72" t="b">
        <v>0</v>
      </c>
      <c r="AS87" s="72" t="b">
        <v>0</v>
      </c>
      <c r="AT87" s="72" t="b">
        <v>1</v>
      </c>
      <c r="AU87" s="72" t="b">
        <v>1</v>
      </c>
      <c r="AV87" s="72" t="b">
        <v>0</v>
      </c>
      <c r="AW87" s="72" t="b">
        <v>0</v>
      </c>
      <c r="AX87" s="72" t="s">
        <v>195</v>
      </c>
      <c r="AY87" s="37" t="e">
        <v>#N/A</v>
      </c>
      <c r="AZ87" s="37" t="e">
        <v>#N/A</v>
      </c>
      <c r="BA87" s="37" t="e">
        <v>#N/A</v>
      </c>
      <c r="BB87" s="37" t="e">
        <v>#N/A</v>
      </c>
      <c r="BC87" s="37" t="e">
        <v>#N/A</v>
      </c>
      <c r="BD87" s="37" t="e">
        <v>#N/A</v>
      </c>
      <c r="BE87" s="72" t="s">
        <v>202</v>
      </c>
      <c r="BF87" s="72">
        <v>1000</v>
      </c>
      <c r="BG87" s="72" t="s">
        <v>1214</v>
      </c>
      <c r="BH87" s="72" t="s">
        <v>39</v>
      </c>
      <c r="BI87" s="37" t="e">
        <v>#N/A</v>
      </c>
      <c r="BJ87" s="37" t="e">
        <v>#N/A</v>
      </c>
      <c r="BK87" s="37" t="e">
        <v>#N/A</v>
      </c>
      <c r="BL87" s="37" t="e">
        <v>#N/A</v>
      </c>
      <c r="BM87" s="37" t="e">
        <v>#N/A</v>
      </c>
      <c r="BN87" s="37" t="e">
        <v>#N/A</v>
      </c>
      <c r="BO87" s="37" t="e">
        <v>#N/A</v>
      </c>
      <c r="BP87" s="37" t="e">
        <v>#N/A</v>
      </c>
      <c r="BQ87" s="72" t="s">
        <v>210</v>
      </c>
      <c r="BR87" s="72" t="s">
        <v>104</v>
      </c>
      <c r="BS87" s="72" t="s">
        <v>208</v>
      </c>
      <c r="BT87" s="72" t="s">
        <v>33</v>
      </c>
      <c r="BU87" s="72" t="b">
        <v>0</v>
      </c>
      <c r="BV87" s="72" t="b">
        <v>0</v>
      </c>
      <c r="BW87" s="72" t="b">
        <v>0</v>
      </c>
      <c r="BX87" s="72" t="b">
        <v>0</v>
      </c>
      <c r="BY87" s="72" t="b">
        <v>0</v>
      </c>
      <c r="BZ87" s="72" t="b">
        <v>0</v>
      </c>
      <c r="CA87" s="72" t="b">
        <v>0</v>
      </c>
      <c r="CB87" s="72" t="b">
        <v>0</v>
      </c>
      <c r="CC87" s="72" t="b">
        <v>1</v>
      </c>
      <c r="CD87" s="72" t="s">
        <v>1215</v>
      </c>
      <c r="CE87" s="72" t="b">
        <v>1</v>
      </c>
      <c r="CF87" s="72" t="b">
        <v>0</v>
      </c>
      <c r="CG87" s="72" t="b">
        <v>0</v>
      </c>
      <c r="CH87" s="72" t="b">
        <v>1</v>
      </c>
      <c r="CI87" s="72" t="b">
        <v>1</v>
      </c>
      <c r="CJ87" s="72" t="b">
        <v>0</v>
      </c>
      <c r="CK87" s="72" t="b">
        <v>0</v>
      </c>
      <c r="CL87" s="72" t="b">
        <v>0</v>
      </c>
      <c r="CM87" s="72" t="b">
        <v>0</v>
      </c>
      <c r="CN87" s="72" t="s">
        <v>33</v>
      </c>
      <c r="CO87" s="75" t="s">
        <v>212</v>
      </c>
      <c r="CP87" s="72" t="s">
        <v>1216</v>
      </c>
      <c r="CQ87" s="72" t="s">
        <v>1217</v>
      </c>
      <c r="CR87" s="37" t="e">
        <v>#N/A</v>
      </c>
      <c r="CS87" s="37" t="e">
        <v>#N/A</v>
      </c>
      <c r="CT87" s="37" t="e">
        <v>#N/A</v>
      </c>
      <c r="CU87" s="37" t="e">
        <v>#N/A</v>
      </c>
      <c r="CV87" s="37" t="e">
        <v>#N/A</v>
      </c>
      <c r="CW87" s="72" t="s">
        <v>39</v>
      </c>
      <c r="CX87" s="72" t="b">
        <v>1</v>
      </c>
      <c r="CY87" s="72" t="b">
        <v>1</v>
      </c>
      <c r="CZ87" s="72" t="b">
        <v>1</v>
      </c>
      <c r="DA87" s="72" t="b">
        <v>0</v>
      </c>
      <c r="DB87" s="72" t="b">
        <v>1</v>
      </c>
      <c r="DC87" s="72" t="b">
        <v>1</v>
      </c>
      <c r="DD87" s="72" t="b">
        <v>1</v>
      </c>
      <c r="DE87" s="72" t="b">
        <v>1</v>
      </c>
      <c r="DF87" s="134" t="s">
        <v>1605</v>
      </c>
      <c r="DG87" s="72" t="s">
        <v>234</v>
      </c>
      <c r="DH87" s="72" t="s">
        <v>233</v>
      </c>
      <c r="DI87" s="72" t="s">
        <v>1203</v>
      </c>
      <c r="DJ87" s="72" t="s">
        <v>1218</v>
      </c>
      <c r="DK87" s="72" t="s">
        <v>1203</v>
      </c>
      <c r="DL87" s="104" t="s">
        <v>231</v>
      </c>
      <c r="DM87" s="39" t="b">
        <f t="shared" si="2"/>
        <v>1</v>
      </c>
      <c r="DN87" s="38" t="str">
        <f t="shared" si="3"/>
        <v>1545_Indu_Z 25_ktion_5 M_100_bi_W</v>
      </c>
    </row>
    <row r="88" spans="1:118" ht="15.75" customHeight="1" x14ac:dyDescent="0.25">
      <c r="A88" s="37">
        <v>83</v>
      </c>
      <c r="C88" s="105">
        <v>8755</v>
      </c>
      <c r="D88" s="134" t="s">
        <v>1219</v>
      </c>
      <c r="E88" s="72" t="s">
        <v>110</v>
      </c>
      <c r="F88" s="134" t="s">
        <v>1220</v>
      </c>
      <c r="G88" s="134" t="s">
        <v>263</v>
      </c>
      <c r="H88" s="134">
        <v>92637</v>
      </c>
      <c r="I88" s="72" t="s">
        <v>114</v>
      </c>
      <c r="J88" s="134" t="s">
        <v>1221</v>
      </c>
      <c r="K88" s="134" t="s">
        <v>1222</v>
      </c>
      <c r="L88" s="134" t="e">
        <v>#N/A</v>
      </c>
      <c r="M88" s="134" t="s">
        <v>1223</v>
      </c>
      <c r="N88" s="134" t="s">
        <v>1606</v>
      </c>
      <c r="O88" s="134" t="s">
        <v>1606</v>
      </c>
      <c r="P88" s="134" t="s">
        <v>1222</v>
      </c>
      <c r="Q88" s="134" t="s">
        <v>1607</v>
      </c>
      <c r="R88" s="72" t="s">
        <v>121</v>
      </c>
      <c r="S88" s="72" t="s">
        <v>122</v>
      </c>
      <c r="T88" s="72" t="e">
        <v>#N/A</v>
      </c>
      <c r="U88" s="72" t="s">
        <v>132</v>
      </c>
      <c r="V88" s="72" t="s">
        <v>1621</v>
      </c>
      <c r="W88" s="72" t="s">
        <v>137</v>
      </c>
      <c r="X88" s="72" t="e">
        <v>#N/A</v>
      </c>
      <c r="Y88" s="72" t="s">
        <v>1224</v>
      </c>
      <c r="Z88" s="72" t="s">
        <v>149</v>
      </c>
      <c r="AA88" s="72" t="s">
        <v>157</v>
      </c>
      <c r="AB88" s="102" t="e">
        <v>#N/A</v>
      </c>
      <c r="AC88" s="102" t="e">
        <v>#N/A</v>
      </c>
      <c r="AD88" s="102" t="e">
        <v>#N/A</v>
      </c>
      <c r="AE88" s="134" t="e">
        <v>#N/A</v>
      </c>
      <c r="AF88" s="134" t="e">
        <v>#N/A</v>
      </c>
      <c r="AG88" s="134" t="e">
        <v>#N/A</v>
      </c>
      <c r="AH88" s="72" t="e">
        <v>#N/A</v>
      </c>
      <c r="AI88" s="72" t="e">
        <v>#N/A</v>
      </c>
      <c r="AJ88" s="72" t="e">
        <v>#N/A</v>
      </c>
      <c r="AK88" s="72" t="e">
        <v>#N/A</v>
      </c>
      <c r="AL88" s="72" t="e">
        <v>#N/A</v>
      </c>
      <c r="AM88" s="72" t="e">
        <v>#N/A</v>
      </c>
      <c r="AN88" s="72" t="b">
        <v>0</v>
      </c>
      <c r="AO88" s="72" t="b">
        <v>0</v>
      </c>
      <c r="AP88" s="72" t="b">
        <v>0</v>
      </c>
      <c r="AQ88" s="72" t="b">
        <v>0</v>
      </c>
      <c r="AR88" s="72" t="b">
        <v>0</v>
      </c>
      <c r="AS88" s="72" t="b">
        <v>0</v>
      </c>
      <c r="AT88" s="72" t="b">
        <v>0</v>
      </c>
      <c r="AU88" s="72" t="b">
        <v>0</v>
      </c>
      <c r="AV88" s="72" t="b">
        <v>0</v>
      </c>
      <c r="AW88" s="72" t="b">
        <v>0</v>
      </c>
      <c r="AX88" s="72" t="e">
        <v>#N/A</v>
      </c>
      <c r="AY88" s="72" t="s">
        <v>196</v>
      </c>
      <c r="AZ88" s="72" t="s">
        <v>198</v>
      </c>
      <c r="BA88" s="72" t="s">
        <v>200</v>
      </c>
      <c r="BB88" s="72" t="s">
        <v>200</v>
      </c>
      <c r="BC88" s="72" t="s">
        <v>198</v>
      </c>
      <c r="BD88" s="72" t="s">
        <v>200</v>
      </c>
      <c r="BE88" s="72" t="s">
        <v>202</v>
      </c>
      <c r="BF88" s="72" t="s">
        <v>1225</v>
      </c>
      <c r="BG88" s="72" t="s">
        <v>1226</v>
      </c>
      <c r="BH88" s="72" t="s">
        <v>477</v>
      </c>
      <c r="BI88" s="72" t="e">
        <v>#N/A</v>
      </c>
      <c r="BJ88" s="72" t="e">
        <v>#N/A</v>
      </c>
      <c r="BK88" s="72" t="e">
        <v>#N/A</v>
      </c>
      <c r="BL88" s="72" t="e">
        <v>#N/A</v>
      </c>
      <c r="BM88" s="72" t="e">
        <v>#N/A</v>
      </c>
      <c r="BN88" s="72" t="e">
        <v>#N/A</v>
      </c>
      <c r="BO88" s="72" t="e">
        <v>#N/A</v>
      </c>
      <c r="BP88" s="72" t="e">
        <v>#N/A</v>
      </c>
      <c r="BQ88" s="72" t="s">
        <v>209</v>
      </c>
      <c r="BR88" s="72" t="s">
        <v>208</v>
      </c>
      <c r="BS88" s="72" t="s">
        <v>104</v>
      </c>
      <c r="BT88" s="72" t="s">
        <v>33</v>
      </c>
      <c r="BU88" s="72" t="b">
        <v>1</v>
      </c>
      <c r="BV88" s="72" t="b">
        <v>0</v>
      </c>
      <c r="BW88" s="72" t="b">
        <v>0</v>
      </c>
      <c r="BX88" s="72" t="b">
        <v>1</v>
      </c>
      <c r="BY88" s="72" t="b">
        <v>0</v>
      </c>
      <c r="BZ88" s="72" t="b">
        <v>0</v>
      </c>
      <c r="CA88" s="72" t="b">
        <v>0</v>
      </c>
      <c r="CB88" s="72" t="b">
        <v>0</v>
      </c>
      <c r="CC88" s="72" t="b">
        <v>0</v>
      </c>
      <c r="CD88" s="72" t="e">
        <v>#N/A</v>
      </c>
      <c r="CE88" s="72" t="b">
        <v>0</v>
      </c>
      <c r="CF88" s="72" t="b">
        <v>0</v>
      </c>
      <c r="CG88" s="72" t="b">
        <v>0</v>
      </c>
      <c r="CH88" s="72" t="b">
        <v>0</v>
      </c>
      <c r="CI88" s="72" t="b">
        <v>0</v>
      </c>
      <c r="CJ88" s="72" t="b">
        <v>0</v>
      </c>
      <c r="CK88" s="72" t="b">
        <v>0</v>
      </c>
      <c r="CL88" s="72" t="b">
        <v>0</v>
      </c>
      <c r="CM88" s="72" t="b">
        <v>0</v>
      </c>
      <c r="CN88" s="72" t="s">
        <v>211</v>
      </c>
      <c r="CO88" s="75" t="s">
        <v>213</v>
      </c>
      <c r="CP88" s="72" t="e">
        <v>#N/A</v>
      </c>
      <c r="CQ88" s="72" t="e">
        <v>#N/A</v>
      </c>
      <c r="CR88" s="72" t="e">
        <v>#N/A</v>
      </c>
      <c r="CS88" s="72" t="e">
        <v>#N/A</v>
      </c>
      <c r="CT88" s="72" t="e">
        <v>#N/A</v>
      </c>
      <c r="CU88" s="72" t="e">
        <v>#N/A</v>
      </c>
      <c r="CV88" s="72" t="e">
        <v>#N/A</v>
      </c>
      <c r="CW88" s="72" t="s">
        <v>39</v>
      </c>
      <c r="CX88" s="72" t="b">
        <v>1</v>
      </c>
      <c r="CY88" s="72" t="b">
        <v>1</v>
      </c>
      <c r="CZ88" s="72" t="b">
        <v>1</v>
      </c>
      <c r="DA88" s="72" t="b">
        <v>0</v>
      </c>
      <c r="DB88" s="72" t="b">
        <v>1</v>
      </c>
      <c r="DC88" s="72" t="b">
        <v>1</v>
      </c>
      <c r="DD88" s="72" t="b">
        <v>0</v>
      </c>
      <c r="DE88" s="72" t="b">
        <v>0</v>
      </c>
      <c r="DF88" s="134" t="s">
        <v>1608</v>
      </c>
      <c r="DG88" s="72" t="e">
        <v>#N/A</v>
      </c>
      <c r="DH88" s="72" t="e">
        <v>#N/A</v>
      </c>
      <c r="DI88" s="72" t="e">
        <v>#N/A</v>
      </c>
      <c r="DJ88" s="72" t="e">
        <v>#N/A</v>
      </c>
      <c r="DK88" s="72" t="e">
        <v>#N/A</v>
      </c>
      <c r="DL88" s="41" t="e">
        <v>#N/A</v>
      </c>
      <c r="DM88" s="39" t="b">
        <f t="shared" si="2"/>
        <v>0</v>
      </c>
      <c r="DN88" s="38" t="str">
        <f t="shared" si="3"/>
        <v>8755_Groß_Z 46_XXXXX_XXX_XXX_XX_F</v>
      </c>
    </row>
    <row r="89" spans="1:118" ht="15.75" customHeight="1" x14ac:dyDescent="0.25">
      <c r="A89" s="37">
        <v>84</v>
      </c>
      <c r="C89" s="105">
        <v>1087</v>
      </c>
      <c r="D89" s="134" t="s">
        <v>1227</v>
      </c>
      <c r="E89" s="72" t="s">
        <v>111</v>
      </c>
      <c r="F89" s="134" t="s">
        <v>1228</v>
      </c>
      <c r="G89" s="134" t="s">
        <v>1229</v>
      </c>
      <c r="H89" s="134">
        <v>95643</v>
      </c>
      <c r="I89" s="72" t="s">
        <v>114</v>
      </c>
      <c r="J89" s="134" t="s">
        <v>1230</v>
      </c>
      <c r="K89" s="134" t="s">
        <v>1231</v>
      </c>
      <c r="L89" s="134" t="s">
        <v>1232</v>
      </c>
      <c r="M89" s="134" t="s">
        <v>1233</v>
      </c>
      <c r="N89" s="134" t="s">
        <v>1609</v>
      </c>
      <c r="O89" s="134" t="s">
        <v>1610</v>
      </c>
      <c r="P89" s="134" t="s">
        <v>1611</v>
      </c>
      <c r="Q89" s="134" t="s">
        <v>1612</v>
      </c>
      <c r="R89" s="72" t="s">
        <v>118</v>
      </c>
      <c r="S89" s="72" t="s">
        <v>121</v>
      </c>
      <c r="T89" s="72" t="e">
        <v>#N/A</v>
      </c>
      <c r="U89" s="72" t="s">
        <v>128</v>
      </c>
      <c r="V89" s="37" t="e">
        <v>#N/A</v>
      </c>
      <c r="W89" s="37" t="e">
        <v>#N/A</v>
      </c>
      <c r="X89" s="72" t="e">
        <v>#N/A</v>
      </c>
      <c r="Y89" s="72" t="s">
        <v>1234</v>
      </c>
      <c r="Z89" s="72" t="s">
        <v>150</v>
      </c>
      <c r="AA89" s="72" t="s">
        <v>156</v>
      </c>
      <c r="AB89" s="102" t="e">
        <v>#N/A</v>
      </c>
      <c r="AC89" s="102" t="e">
        <v>#N/A</v>
      </c>
      <c r="AD89" s="102" t="e">
        <v>#N/A</v>
      </c>
      <c r="AE89" s="102" t="e">
        <v>#N/A</v>
      </c>
      <c r="AF89" s="102" t="e">
        <v>#N/A</v>
      </c>
      <c r="AG89" s="102" t="e">
        <v>#N/A</v>
      </c>
      <c r="AH89" s="72" t="s">
        <v>161</v>
      </c>
      <c r="AI89" s="72" t="s">
        <v>178</v>
      </c>
      <c r="AJ89" s="72" t="s">
        <v>185</v>
      </c>
      <c r="AK89" s="37" t="e">
        <v>#N/A</v>
      </c>
      <c r="AL89" s="72" t="s">
        <v>188</v>
      </c>
      <c r="AM89" s="37" t="e">
        <v>#N/A</v>
      </c>
      <c r="AN89" s="72" t="b">
        <v>1</v>
      </c>
      <c r="AO89" s="72" t="b">
        <v>1</v>
      </c>
      <c r="AP89" s="72" t="b">
        <v>0</v>
      </c>
      <c r="AQ89" s="72" t="b">
        <v>0</v>
      </c>
      <c r="AR89" s="72" t="b">
        <v>0</v>
      </c>
      <c r="AS89" s="72" t="b">
        <v>0</v>
      </c>
      <c r="AT89" s="72" t="b">
        <v>0</v>
      </c>
      <c r="AU89" s="72" t="b">
        <v>0</v>
      </c>
      <c r="AV89" s="72" t="b">
        <v>0</v>
      </c>
      <c r="AW89" s="72" t="b">
        <v>0</v>
      </c>
      <c r="AX89" s="72" t="s">
        <v>195</v>
      </c>
      <c r="AY89" s="72" t="s">
        <v>196</v>
      </c>
      <c r="AZ89" s="72" t="s">
        <v>199</v>
      </c>
      <c r="BA89" s="72" t="s">
        <v>199</v>
      </c>
      <c r="BB89" s="72" t="s">
        <v>196</v>
      </c>
      <c r="BC89" s="72" t="s">
        <v>199</v>
      </c>
      <c r="BD89" s="72" t="s">
        <v>199</v>
      </c>
      <c r="BE89" s="72" t="s">
        <v>202</v>
      </c>
      <c r="BF89" s="72" t="s">
        <v>1235</v>
      </c>
      <c r="BG89" s="37" t="e">
        <v>#N/A</v>
      </c>
      <c r="BH89" s="72" t="s">
        <v>33</v>
      </c>
      <c r="BI89" s="72" t="s">
        <v>205</v>
      </c>
      <c r="BJ89" s="37" t="e">
        <v>#N/A</v>
      </c>
      <c r="BK89" s="37" t="e">
        <v>#N/A</v>
      </c>
      <c r="BL89" s="72" t="s">
        <v>33</v>
      </c>
      <c r="BM89" s="72" t="s">
        <v>206</v>
      </c>
      <c r="BN89" s="37" t="e">
        <v>#N/A</v>
      </c>
      <c r="BO89" s="37" t="e">
        <v>#N/A</v>
      </c>
      <c r="BP89" s="72" t="s">
        <v>33</v>
      </c>
      <c r="BQ89" s="72" t="s">
        <v>210</v>
      </c>
      <c r="BR89" s="37" t="e">
        <v>#N/A</v>
      </c>
      <c r="BS89" s="72" t="s">
        <v>208</v>
      </c>
      <c r="BT89" s="72" t="s">
        <v>33</v>
      </c>
      <c r="BU89" s="72" t="b">
        <v>0</v>
      </c>
      <c r="BV89" s="72" t="b">
        <v>0</v>
      </c>
      <c r="BW89" s="72" t="b">
        <v>0</v>
      </c>
      <c r="BX89" s="72" t="b">
        <v>0</v>
      </c>
      <c r="BY89" s="72" t="b">
        <v>0</v>
      </c>
      <c r="BZ89" s="72" t="b">
        <v>0</v>
      </c>
      <c r="CA89" s="72" t="b">
        <v>0</v>
      </c>
      <c r="CB89" s="72" t="b">
        <v>0</v>
      </c>
      <c r="CC89" s="72" t="b">
        <v>1</v>
      </c>
      <c r="CD89" s="72" t="s">
        <v>1236</v>
      </c>
      <c r="CE89" s="72" t="b">
        <v>1</v>
      </c>
      <c r="CF89" s="72" t="b">
        <v>1</v>
      </c>
      <c r="CG89" s="72" t="b">
        <v>0</v>
      </c>
      <c r="CH89" s="72" t="b">
        <v>1</v>
      </c>
      <c r="CI89" s="72" t="b">
        <v>1</v>
      </c>
      <c r="CJ89" s="72" t="b">
        <v>0</v>
      </c>
      <c r="CK89" s="72" t="b">
        <v>0</v>
      </c>
      <c r="CL89" s="72" t="b">
        <v>0</v>
      </c>
      <c r="CM89" s="72" t="b">
        <v>0</v>
      </c>
      <c r="CN89" s="72" t="s">
        <v>39</v>
      </c>
      <c r="CO89" s="58" t="e">
        <v>#N/A</v>
      </c>
      <c r="CP89" s="37" t="e">
        <v>#N/A</v>
      </c>
      <c r="CQ89" s="37" t="e">
        <v>#N/A</v>
      </c>
      <c r="CR89" s="37" t="e">
        <v>#N/A</v>
      </c>
      <c r="CS89" s="37" t="e">
        <v>#N/A</v>
      </c>
      <c r="CT89" s="37" t="e">
        <v>#N/A</v>
      </c>
      <c r="CU89" s="37" t="e">
        <v>#N/A</v>
      </c>
      <c r="CV89" s="37" t="e">
        <v>#N/A</v>
      </c>
      <c r="CW89" s="37" t="e">
        <v>#N/A</v>
      </c>
      <c r="CX89" s="72" t="b">
        <v>0</v>
      </c>
      <c r="CY89" s="72" t="b">
        <v>1</v>
      </c>
      <c r="CZ89" s="72" t="b">
        <v>1</v>
      </c>
      <c r="DA89" s="72" t="b">
        <v>0</v>
      </c>
      <c r="DB89" s="72" t="b">
        <v>1</v>
      </c>
      <c r="DC89" s="72" t="b">
        <v>1</v>
      </c>
      <c r="DD89" s="72" t="b">
        <v>1</v>
      </c>
      <c r="DE89" s="72" t="b">
        <v>0</v>
      </c>
      <c r="DF89" s="134" t="s">
        <v>1613</v>
      </c>
      <c r="DG89" s="72" t="s">
        <v>1237</v>
      </c>
      <c r="DH89" s="37" t="e">
        <v>#N/A</v>
      </c>
      <c r="DI89" s="37" t="e">
        <v>#N/A</v>
      </c>
      <c r="DJ89" s="37" t="e">
        <v>#N/A</v>
      </c>
      <c r="DK89" s="72">
        <v>40727</v>
      </c>
      <c r="DL89" s="104" t="s">
        <v>276</v>
      </c>
      <c r="DM89" s="39" t="b">
        <f t="shared" si="2"/>
        <v>1</v>
      </c>
      <c r="DN89" s="38" t="str">
        <f t="shared" si="3"/>
        <v>1087_Indu_Z 25_ktion_übe_500_10_W</v>
      </c>
    </row>
    <row r="90" spans="1:118" x14ac:dyDescent="0.25">
      <c r="A90" s="37">
        <v>85</v>
      </c>
      <c r="C90" s="105">
        <v>9689</v>
      </c>
      <c r="D90" s="134" t="s">
        <v>1238</v>
      </c>
      <c r="E90" s="72" t="s">
        <v>109</v>
      </c>
      <c r="F90" s="134" t="s">
        <v>1239</v>
      </c>
      <c r="G90" s="134" t="s">
        <v>485</v>
      </c>
      <c r="H90" s="134">
        <v>92431</v>
      </c>
      <c r="I90" s="72" t="s">
        <v>114</v>
      </c>
      <c r="J90" s="134" t="s">
        <v>1240</v>
      </c>
      <c r="K90" s="134" t="e">
        <v>#N/A</v>
      </c>
      <c r="L90" s="134" t="s">
        <v>1241</v>
      </c>
      <c r="M90" s="134" t="s">
        <v>1242</v>
      </c>
      <c r="N90" s="134" t="e">
        <v>#N/A</v>
      </c>
      <c r="O90" s="134" t="s">
        <v>1614</v>
      </c>
      <c r="P90" s="134" t="s">
        <v>1615</v>
      </c>
      <c r="Q90" s="102" t="e">
        <v>#N/A</v>
      </c>
      <c r="R90" s="72" t="s">
        <v>118</v>
      </c>
      <c r="S90" s="72" t="s">
        <v>119</v>
      </c>
      <c r="T90" s="72" t="e">
        <v>#N/A</v>
      </c>
      <c r="U90" s="72" t="s">
        <v>1620</v>
      </c>
      <c r="V90" s="72" t="s">
        <v>132</v>
      </c>
      <c r="W90" s="72" t="s">
        <v>142</v>
      </c>
      <c r="X90" s="72" t="e">
        <v>#N/A</v>
      </c>
      <c r="Y90" s="72" t="s">
        <v>1243</v>
      </c>
      <c r="Z90" s="72" t="s">
        <v>148</v>
      </c>
      <c r="AA90" s="72" t="s">
        <v>159</v>
      </c>
      <c r="AB90" s="102" t="e">
        <v>#N/A</v>
      </c>
      <c r="AC90" s="134" t="s">
        <v>1616</v>
      </c>
      <c r="AD90" s="134" t="s">
        <v>1617</v>
      </c>
      <c r="AE90" s="102" t="e">
        <v>#N/A</v>
      </c>
      <c r="AF90" s="102" t="e">
        <v>#N/A</v>
      </c>
      <c r="AG90" s="102" t="e">
        <v>#N/A</v>
      </c>
      <c r="AH90" s="72" t="s">
        <v>161</v>
      </c>
      <c r="AI90" s="72" t="s">
        <v>177</v>
      </c>
      <c r="AJ90" s="72" t="s">
        <v>183</v>
      </c>
      <c r="AK90" s="37" t="e">
        <v>#N/A</v>
      </c>
      <c r="AL90" s="72" t="s">
        <v>187</v>
      </c>
      <c r="AM90" s="37" t="e">
        <v>#N/A</v>
      </c>
      <c r="AN90" s="72" t="b">
        <v>1</v>
      </c>
      <c r="AO90" s="72" t="b">
        <v>1</v>
      </c>
      <c r="AP90" s="72" t="b">
        <v>0</v>
      </c>
      <c r="AQ90" s="72" t="b">
        <v>0</v>
      </c>
      <c r="AR90" s="72" t="b">
        <v>0</v>
      </c>
      <c r="AS90" s="72" t="b">
        <v>0</v>
      </c>
      <c r="AT90" s="72" t="b">
        <v>0</v>
      </c>
      <c r="AU90" s="72" t="b">
        <v>0</v>
      </c>
      <c r="AV90" s="72" t="b">
        <v>0</v>
      </c>
      <c r="AW90" s="72" t="b">
        <v>0</v>
      </c>
      <c r="AX90" s="72" t="s">
        <v>194</v>
      </c>
      <c r="AY90" s="72" t="s">
        <v>196</v>
      </c>
      <c r="AZ90" s="72" t="s">
        <v>199</v>
      </c>
      <c r="BA90" s="72" t="s">
        <v>199</v>
      </c>
      <c r="BB90" s="72" t="s">
        <v>196</v>
      </c>
      <c r="BC90" s="72" t="s">
        <v>199</v>
      </c>
      <c r="BD90" s="72" t="s">
        <v>200</v>
      </c>
      <c r="BE90" s="72" t="s">
        <v>201</v>
      </c>
      <c r="BF90" s="37" t="e">
        <v>#N/A</v>
      </c>
      <c r="BG90" s="37" t="e">
        <v>#N/A</v>
      </c>
      <c r="BH90" s="37" t="e">
        <v>#N/A</v>
      </c>
      <c r="BI90" s="72" t="s">
        <v>202</v>
      </c>
      <c r="BJ90" s="72">
        <v>3000</v>
      </c>
      <c r="BK90" s="37" t="e">
        <v>#N/A</v>
      </c>
      <c r="BL90" s="72" t="s">
        <v>278</v>
      </c>
      <c r="BM90" s="72" t="s">
        <v>207</v>
      </c>
      <c r="BN90" s="37" t="e">
        <v>#N/A</v>
      </c>
      <c r="BO90" s="37" t="e">
        <v>#N/A</v>
      </c>
      <c r="BP90" s="37" t="e">
        <v>#N/A</v>
      </c>
      <c r="BQ90" s="72" t="s">
        <v>209</v>
      </c>
      <c r="BR90" s="37" t="e">
        <v>#N/A</v>
      </c>
      <c r="BS90" s="72" t="s">
        <v>208</v>
      </c>
      <c r="BT90" s="72" t="s">
        <v>33</v>
      </c>
      <c r="BU90" s="72" t="b">
        <v>1</v>
      </c>
      <c r="BV90" s="72" t="b">
        <v>0</v>
      </c>
      <c r="BW90" s="72" t="b">
        <v>0</v>
      </c>
      <c r="BX90" s="72" t="b">
        <v>1</v>
      </c>
      <c r="BY90" s="72" t="b">
        <v>1</v>
      </c>
      <c r="BZ90" s="72" t="b">
        <v>0</v>
      </c>
      <c r="CA90" s="72" t="b">
        <v>0</v>
      </c>
      <c r="CB90" s="72" t="b">
        <v>0</v>
      </c>
      <c r="CC90" s="72" t="b">
        <v>0</v>
      </c>
      <c r="CD90" s="37" t="e">
        <v>#N/A</v>
      </c>
      <c r="CE90" s="72" t="b">
        <v>1</v>
      </c>
      <c r="CF90" s="72" t="b">
        <v>1</v>
      </c>
      <c r="CG90" s="72" t="b">
        <v>0</v>
      </c>
      <c r="CH90" s="72" t="b">
        <v>0</v>
      </c>
      <c r="CI90" s="72" t="b">
        <v>1</v>
      </c>
      <c r="CJ90" s="72" t="b">
        <v>0</v>
      </c>
      <c r="CK90" s="72" t="b">
        <v>0</v>
      </c>
      <c r="CL90" s="72" t="b">
        <v>0</v>
      </c>
      <c r="CM90" s="72" t="b">
        <v>0</v>
      </c>
      <c r="CN90" s="72" t="s">
        <v>211</v>
      </c>
      <c r="CO90" s="75" t="s">
        <v>212</v>
      </c>
      <c r="CP90" s="37" t="e">
        <v>#N/A</v>
      </c>
      <c r="CQ90" s="37" t="e">
        <v>#N/A</v>
      </c>
      <c r="CR90" s="37" t="e">
        <v>#N/A</v>
      </c>
      <c r="CS90" s="37" t="e">
        <v>#N/A</v>
      </c>
      <c r="CT90" s="37" t="e">
        <v>#N/A</v>
      </c>
      <c r="CU90" s="37" t="e">
        <v>#N/A</v>
      </c>
      <c r="CV90" s="37" t="e">
        <v>#N/A</v>
      </c>
      <c r="CW90" s="72" t="s">
        <v>219</v>
      </c>
      <c r="CX90" s="72" t="b">
        <v>0</v>
      </c>
      <c r="CY90" s="72" t="b">
        <v>1</v>
      </c>
      <c r="CZ90" s="72" t="b">
        <v>1</v>
      </c>
      <c r="DA90" s="72" t="b">
        <v>0</v>
      </c>
      <c r="DB90" s="72" t="b">
        <v>1</v>
      </c>
      <c r="DC90" s="72" t="b">
        <v>1</v>
      </c>
      <c r="DD90" s="72" t="b">
        <v>1</v>
      </c>
      <c r="DE90" s="72" t="b">
        <v>0</v>
      </c>
      <c r="DF90" s="134" t="s">
        <v>1618</v>
      </c>
      <c r="DG90" s="72" t="s">
        <v>234</v>
      </c>
      <c r="DH90" s="72" t="s">
        <v>233</v>
      </c>
      <c r="DI90" s="72" t="s">
        <v>1244</v>
      </c>
      <c r="DJ90" s="72" t="s">
        <v>1245</v>
      </c>
      <c r="DK90" s="72" t="s">
        <v>1246</v>
      </c>
      <c r="DL90" s="41" t="e">
        <v>#N/A</v>
      </c>
      <c r="DM90" s="39" t="b">
        <f t="shared" si="2"/>
        <v>1</v>
      </c>
      <c r="DN90" s="38" t="str">
        <f t="shared" si="3"/>
        <v>9689_Indu_z 26_ktion_5 M_100_bi_W</v>
      </c>
    </row>
    <row r="91" spans="1:118" ht="15.75" customHeight="1" x14ac:dyDescent="0.25">
      <c r="A91" s="37">
        <v>86</v>
      </c>
      <c r="C91" s="140">
        <v>6229</v>
      </c>
      <c r="D91" s="133" t="s">
        <v>1650</v>
      </c>
      <c r="E91" s="41" t="s">
        <v>109</v>
      </c>
      <c r="F91" s="133" t="s">
        <v>1651</v>
      </c>
      <c r="G91" s="133" t="s">
        <v>547</v>
      </c>
      <c r="H91" s="133">
        <v>93138</v>
      </c>
      <c r="I91" s="41" t="s">
        <v>114</v>
      </c>
      <c r="J91" s="133" t="s">
        <v>1652</v>
      </c>
      <c r="K91" s="133" t="s">
        <v>1653</v>
      </c>
      <c r="L91" s="133" t="s">
        <v>1654</v>
      </c>
      <c r="M91" s="133" t="s">
        <v>1655</v>
      </c>
      <c r="N91" s="134" t="e">
        <v>#N/A</v>
      </c>
      <c r="O91" s="133" t="s">
        <v>1656</v>
      </c>
      <c r="P91" s="133" t="s">
        <v>1657</v>
      </c>
      <c r="Q91" s="133" t="s">
        <v>1654</v>
      </c>
      <c r="R91" s="41" t="e">
        <v>#N/A</v>
      </c>
      <c r="S91" s="41" t="s">
        <v>117</v>
      </c>
      <c r="T91" s="41" t="e">
        <v>#N/A</v>
      </c>
      <c r="U91" s="147" t="s">
        <v>1663</v>
      </c>
      <c r="V91" s="41" t="e">
        <v>#N/A</v>
      </c>
      <c r="W91" s="41" t="e">
        <v>#N/A</v>
      </c>
      <c r="X91" s="41" t="e">
        <v>#N/A</v>
      </c>
      <c r="Y91" s="41" t="s">
        <v>1658</v>
      </c>
      <c r="Z91" s="41" t="s">
        <v>150</v>
      </c>
      <c r="AA91" s="41" t="s">
        <v>159</v>
      </c>
      <c r="AB91" s="132" t="e">
        <v>#N/A</v>
      </c>
      <c r="AC91" s="133" t="s">
        <v>1659</v>
      </c>
      <c r="AD91" s="133" t="s">
        <v>1660</v>
      </c>
      <c r="AE91" s="133" t="e">
        <v>#N/A</v>
      </c>
      <c r="AF91" s="133" t="e">
        <v>#N/A</v>
      </c>
      <c r="AG91" s="133" t="e">
        <v>#N/A</v>
      </c>
      <c r="AH91" s="41" t="s">
        <v>161</v>
      </c>
      <c r="AI91" s="41" t="e">
        <v>#N/A</v>
      </c>
      <c r="AJ91" s="41" t="s">
        <v>182</v>
      </c>
      <c r="AK91" s="41" t="e">
        <v>#N/A</v>
      </c>
      <c r="AL91" s="41" t="s">
        <v>187</v>
      </c>
      <c r="AM91" s="41" t="e">
        <v>#N/A</v>
      </c>
      <c r="AN91" s="41" t="b">
        <v>1</v>
      </c>
      <c r="AO91" s="41" t="b">
        <v>1</v>
      </c>
      <c r="AP91" s="41" t="b">
        <v>0</v>
      </c>
      <c r="AQ91" s="41" t="b">
        <v>0</v>
      </c>
      <c r="AR91" s="41" t="b">
        <v>0</v>
      </c>
      <c r="AS91" s="41" t="b">
        <v>0</v>
      </c>
      <c r="AT91" s="41" t="b">
        <v>0</v>
      </c>
      <c r="AU91" s="41" t="b">
        <v>0</v>
      </c>
      <c r="AV91" s="41" t="b">
        <v>0</v>
      </c>
      <c r="AW91" s="41" t="b">
        <v>0</v>
      </c>
      <c r="AX91" s="41" t="s">
        <v>195</v>
      </c>
      <c r="AY91" s="41" t="s">
        <v>197</v>
      </c>
      <c r="AZ91" s="41" t="e">
        <v>#N/A</v>
      </c>
      <c r="BA91" s="41" t="e">
        <v>#N/A</v>
      </c>
      <c r="BB91" s="41" t="s">
        <v>197</v>
      </c>
      <c r="BC91" s="41" t="e">
        <v>#N/A</v>
      </c>
      <c r="BD91" s="41" t="e">
        <v>#N/A</v>
      </c>
      <c r="BE91" s="41" t="s">
        <v>249</v>
      </c>
      <c r="BF91" s="41" t="e">
        <v>#N/A</v>
      </c>
      <c r="BG91" s="41" t="e">
        <v>#N/A</v>
      </c>
      <c r="BH91" s="41" t="e">
        <v>#N/A</v>
      </c>
      <c r="BI91" s="41" t="s">
        <v>206</v>
      </c>
      <c r="BJ91" s="41" t="e">
        <v>#N/A</v>
      </c>
      <c r="BK91" s="41" t="e">
        <v>#N/A</v>
      </c>
      <c r="BL91" s="41" t="e">
        <v>#N/A</v>
      </c>
      <c r="BM91" s="41" t="s">
        <v>207</v>
      </c>
      <c r="BN91" s="41" t="e">
        <v>#N/A</v>
      </c>
      <c r="BO91" s="41" t="e">
        <v>#N/A</v>
      </c>
      <c r="BP91" s="41" t="e">
        <v>#N/A</v>
      </c>
      <c r="BQ91" s="41" t="s">
        <v>208</v>
      </c>
      <c r="BR91" s="41" t="s">
        <v>104</v>
      </c>
      <c r="BS91" s="41" t="s">
        <v>208</v>
      </c>
      <c r="BT91" s="41" t="s">
        <v>33</v>
      </c>
      <c r="BU91" s="41" t="b">
        <v>0</v>
      </c>
      <c r="BV91" s="41" t="b">
        <v>0</v>
      </c>
      <c r="BW91" s="41" t="b">
        <v>0</v>
      </c>
      <c r="BX91" s="41" t="b">
        <v>0</v>
      </c>
      <c r="BY91" s="41" t="b">
        <v>0</v>
      </c>
      <c r="BZ91" s="41" t="b">
        <v>0</v>
      </c>
      <c r="CA91" s="41" t="b">
        <v>0</v>
      </c>
      <c r="CB91" s="41" t="b">
        <v>0</v>
      </c>
      <c r="CC91" s="41" t="b">
        <v>1</v>
      </c>
      <c r="CD91" s="41" t="e">
        <v>#N/A</v>
      </c>
      <c r="CE91" s="41" t="b">
        <v>1</v>
      </c>
      <c r="CF91" s="41" t="b">
        <v>1</v>
      </c>
      <c r="CG91" s="41" t="b">
        <v>0</v>
      </c>
      <c r="CH91" s="41" t="b">
        <v>0</v>
      </c>
      <c r="CI91" s="41" t="b">
        <v>0</v>
      </c>
      <c r="CJ91" s="41" t="b">
        <v>0</v>
      </c>
      <c r="CK91" s="41" t="b">
        <v>0</v>
      </c>
      <c r="CL91" s="41" t="b">
        <v>0</v>
      </c>
      <c r="CM91" s="41" t="b">
        <v>0</v>
      </c>
      <c r="CN91" s="41" t="s">
        <v>39</v>
      </c>
      <c r="CO91" s="58" t="s">
        <v>1662</v>
      </c>
      <c r="CP91" s="41" t="e">
        <v>#N/A</v>
      </c>
      <c r="CQ91" s="41" t="e">
        <v>#N/A</v>
      </c>
      <c r="CR91" s="41" t="e">
        <v>#N/A</v>
      </c>
      <c r="CS91" s="41" t="e">
        <v>#N/A</v>
      </c>
      <c r="CT91" s="41" t="e">
        <v>#N/A</v>
      </c>
      <c r="CU91" s="41" t="e">
        <v>#N/A</v>
      </c>
      <c r="CV91" s="41" t="e">
        <v>#N/A</v>
      </c>
      <c r="CW91" s="41" t="e">
        <v>#N/A</v>
      </c>
      <c r="CX91" s="41" t="b">
        <v>0</v>
      </c>
      <c r="CY91" s="41" t="b">
        <v>1</v>
      </c>
      <c r="CZ91" s="41" t="b">
        <v>1</v>
      </c>
      <c r="DA91" s="41" t="b">
        <v>0</v>
      </c>
      <c r="DB91" s="41" t="b">
        <v>0</v>
      </c>
      <c r="DC91" s="41" t="b">
        <v>0</v>
      </c>
      <c r="DD91" s="41" t="b">
        <v>0</v>
      </c>
      <c r="DE91" s="41" t="b">
        <v>0</v>
      </c>
      <c r="DF91" s="133" t="s">
        <v>1661</v>
      </c>
      <c r="DG91" s="41" t="s">
        <v>234</v>
      </c>
      <c r="DH91" s="41" t="e">
        <v>#N/A</v>
      </c>
      <c r="DI91" s="41" t="e">
        <v>#N/A</v>
      </c>
      <c r="DJ91" s="41" t="e">
        <v>#N/A</v>
      </c>
      <c r="DK91" s="41" t="e">
        <v>#N/A</v>
      </c>
      <c r="DL91" s="41" t="e">
        <v>#N/A</v>
      </c>
      <c r="DM91" s="39" t="b">
        <f t="shared" si="2"/>
        <v>1</v>
      </c>
      <c r="DN91" s="38" t="str">
        <f t="shared" si="3"/>
        <v>6229_XXXX_z 27_ktion_XXX_50 _bi_W</v>
      </c>
    </row>
    <row r="92" spans="1:118" ht="15.75" customHeight="1" x14ac:dyDescent="0.25">
      <c r="A92" s="37">
        <v>87</v>
      </c>
      <c r="C92" s="140">
        <v>4319</v>
      </c>
      <c r="D92" s="133" t="s">
        <v>1664</v>
      </c>
      <c r="E92" s="41" t="s">
        <v>110</v>
      </c>
      <c r="F92" s="133" t="s">
        <v>1665</v>
      </c>
      <c r="G92" s="133" t="s">
        <v>1666</v>
      </c>
      <c r="H92" s="133">
        <v>92237</v>
      </c>
      <c r="I92" s="41" t="s">
        <v>114</v>
      </c>
      <c r="J92" s="133" t="s">
        <v>1667</v>
      </c>
      <c r="K92" s="133" t="s">
        <v>1668</v>
      </c>
      <c r="L92" s="133" t="s">
        <v>1669</v>
      </c>
      <c r="M92" s="133" t="s">
        <v>1670</v>
      </c>
      <c r="N92" s="133" t="s">
        <v>1671</v>
      </c>
      <c r="O92" s="133" t="s">
        <v>1672</v>
      </c>
      <c r="P92" s="133" t="s">
        <v>1673</v>
      </c>
      <c r="Q92" s="133" t="e">
        <v>#N/A</v>
      </c>
      <c r="R92" s="41" t="s">
        <v>119</v>
      </c>
      <c r="S92" s="41" t="e">
        <v>#N/A</v>
      </c>
      <c r="T92" s="41" t="e">
        <v>#N/A</v>
      </c>
      <c r="U92" s="41" t="s">
        <v>144</v>
      </c>
      <c r="V92" s="41" t="s">
        <v>145</v>
      </c>
      <c r="W92" s="41" t="e">
        <v>#N/A</v>
      </c>
      <c r="X92" s="41" t="e">
        <v>#N/A</v>
      </c>
      <c r="Y92" s="41" t="e">
        <v>#N/A</v>
      </c>
      <c r="Z92" s="41" t="s">
        <v>150</v>
      </c>
      <c r="AA92" s="41" t="s">
        <v>157</v>
      </c>
      <c r="AB92" s="132" t="e">
        <v>#N/A</v>
      </c>
      <c r="AC92" s="133" t="e">
        <v>#N/A</v>
      </c>
      <c r="AD92" s="133" t="e">
        <v>#N/A</v>
      </c>
      <c r="AE92" s="133" t="e">
        <v>#N/A</v>
      </c>
      <c r="AF92" s="133" t="e">
        <v>#N/A</v>
      </c>
      <c r="AG92" s="133" t="e">
        <v>#N/A</v>
      </c>
      <c r="AH92" s="41" t="s">
        <v>165</v>
      </c>
      <c r="AI92" s="41" t="s">
        <v>177</v>
      </c>
      <c r="AJ92" s="41" t="s">
        <v>183</v>
      </c>
      <c r="AK92" s="41" t="e">
        <v>#N/A</v>
      </c>
      <c r="AL92" s="41" t="s">
        <v>187</v>
      </c>
      <c r="AM92" s="41" t="e">
        <v>#N/A</v>
      </c>
      <c r="AN92" s="41" t="b">
        <v>0</v>
      </c>
      <c r="AO92" s="41" t="b">
        <v>0</v>
      </c>
      <c r="AP92" s="41" t="b">
        <v>0</v>
      </c>
      <c r="AQ92" s="41" t="b">
        <v>0</v>
      </c>
      <c r="AR92" s="41" t="b">
        <v>0</v>
      </c>
      <c r="AS92" s="41" t="b">
        <v>0</v>
      </c>
      <c r="AT92" s="41" t="b">
        <v>1</v>
      </c>
      <c r="AU92" s="41" t="b">
        <v>0</v>
      </c>
      <c r="AV92" s="41" t="b">
        <v>0</v>
      </c>
      <c r="AW92" s="41" t="b">
        <v>0</v>
      </c>
      <c r="AX92" s="41" t="s">
        <v>195</v>
      </c>
      <c r="AY92" s="41" t="e">
        <v>#N/A</v>
      </c>
      <c r="AZ92" s="41" t="e">
        <v>#N/A</v>
      </c>
      <c r="BA92" s="41" t="e">
        <v>#N/A</v>
      </c>
      <c r="BB92" s="41" t="e">
        <v>#N/A</v>
      </c>
      <c r="BC92" s="41" t="e">
        <v>#N/A</v>
      </c>
      <c r="BD92" s="41" t="e">
        <v>#N/A</v>
      </c>
      <c r="BE92" s="41" t="s">
        <v>202</v>
      </c>
      <c r="BF92" s="41" t="s">
        <v>1674</v>
      </c>
      <c r="BG92" s="41" t="e">
        <v>#N/A</v>
      </c>
      <c r="BH92" s="41" t="e">
        <v>#N/A</v>
      </c>
      <c r="BI92" s="41" t="e">
        <v>#N/A</v>
      </c>
      <c r="BJ92" s="41" t="e">
        <v>#N/A</v>
      </c>
      <c r="BK92" s="41" t="e">
        <v>#N/A</v>
      </c>
      <c r="BL92" s="41" t="e">
        <v>#N/A</v>
      </c>
      <c r="BM92" s="41" t="e">
        <v>#N/A</v>
      </c>
      <c r="BN92" s="41" t="e">
        <v>#N/A</v>
      </c>
      <c r="BO92" s="41" t="e">
        <v>#N/A</v>
      </c>
      <c r="BP92" s="41" t="e">
        <v>#N/A</v>
      </c>
      <c r="BQ92" s="41" t="e">
        <v>#N/A</v>
      </c>
      <c r="BR92" s="41" t="e">
        <v>#N/A</v>
      </c>
      <c r="BS92" s="41" t="s">
        <v>208</v>
      </c>
      <c r="BT92" s="41" t="s">
        <v>39</v>
      </c>
      <c r="BU92" s="41" t="b">
        <v>0</v>
      </c>
      <c r="BV92" s="41" t="b">
        <v>0</v>
      </c>
      <c r="BW92" s="41" t="b">
        <v>0</v>
      </c>
      <c r="BX92" s="41" t="b">
        <v>0</v>
      </c>
      <c r="BY92" s="41" t="b">
        <v>0</v>
      </c>
      <c r="BZ92" s="41" t="b">
        <v>0</v>
      </c>
      <c r="CA92" s="41" t="b">
        <v>0</v>
      </c>
      <c r="CB92" s="41" t="b">
        <v>0</v>
      </c>
      <c r="CC92" s="41" t="b">
        <v>1</v>
      </c>
      <c r="CD92" s="41" t="e">
        <v>#N/A</v>
      </c>
      <c r="CE92" s="41" t="b">
        <v>0</v>
      </c>
      <c r="CF92" s="41" t="b">
        <v>0</v>
      </c>
      <c r="CG92" s="41" t="b">
        <v>0</v>
      </c>
      <c r="CH92" s="41" t="b">
        <v>0</v>
      </c>
      <c r="CI92" s="41" t="b">
        <v>0</v>
      </c>
      <c r="CJ92" s="41" t="b">
        <v>0</v>
      </c>
      <c r="CK92" s="41" t="b">
        <v>0</v>
      </c>
      <c r="CL92" s="41" t="b">
        <v>0</v>
      </c>
      <c r="CM92" s="41" t="b">
        <v>0</v>
      </c>
      <c r="CN92" s="41" t="s">
        <v>39</v>
      </c>
      <c r="CO92" s="58" t="e">
        <v>#N/A</v>
      </c>
      <c r="CP92" s="41" t="e">
        <v>#N/A</v>
      </c>
      <c r="CQ92" s="41" t="e">
        <v>#N/A</v>
      </c>
      <c r="CR92" s="41" t="e">
        <v>#N/A</v>
      </c>
      <c r="CS92" s="41" t="e">
        <v>#N/A</v>
      </c>
      <c r="CT92" s="41" t="e">
        <v>#N/A</v>
      </c>
      <c r="CU92" s="41" t="e">
        <v>#N/A</v>
      </c>
      <c r="CV92" s="41" t="e">
        <v>#N/A</v>
      </c>
      <c r="CW92" s="41" t="e">
        <v>#N/A</v>
      </c>
      <c r="CX92" s="41" t="b">
        <v>0</v>
      </c>
      <c r="CY92" s="41" t="b">
        <v>0</v>
      </c>
      <c r="CZ92" s="41" t="b">
        <v>0</v>
      </c>
      <c r="DA92" s="41" t="b">
        <v>0</v>
      </c>
      <c r="DB92" s="41" t="b">
        <v>0</v>
      </c>
      <c r="DC92" s="41" t="b">
        <v>0</v>
      </c>
      <c r="DD92" s="41" t="b">
        <v>0</v>
      </c>
      <c r="DE92" s="41" t="b">
        <v>0</v>
      </c>
      <c r="DF92" s="133" t="e">
        <v>#N/A</v>
      </c>
      <c r="DG92" s="41" t="e">
        <v>#N/A</v>
      </c>
      <c r="DH92" s="41" t="e">
        <v>#N/A</v>
      </c>
      <c r="DI92" s="41" t="e">
        <v>#N/A</v>
      </c>
      <c r="DJ92" s="41" t="e">
        <v>#N/A</v>
      </c>
      <c r="DK92" s="41" t="e">
        <v>#N/A</v>
      </c>
      <c r="DL92" s="41" t="e">
        <v>#N/A</v>
      </c>
      <c r="DM92" s="39" t="b">
        <f t="shared" si="2"/>
        <v>0</v>
      </c>
      <c r="DN92" s="38" t="str">
        <f t="shared" si="3"/>
        <v>4319_Dien_Z 78_tung _5 M_100_bi_F</v>
      </c>
    </row>
    <row r="93" spans="1:118" ht="15.75" customHeight="1" x14ac:dyDescent="0.25">
      <c r="A93" s="37">
        <v>88</v>
      </c>
      <c r="C93" s="140">
        <v>2161</v>
      </c>
      <c r="D93" s="133" t="s">
        <v>1675</v>
      </c>
      <c r="E93" s="41" t="s">
        <v>111</v>
      </c>
      <c r="F93" s="133" t="s">
        <v>1676</v>
      </c>
      <c r="G93" s="133" t="s">
        <v>1677</v>
      </c>
      <c r="H93" s="133">
        <v>92442</v>
      </c>
      <c r="I93" s="41" t="s">
        <v>114</v>
      </c>
      <c r="J93" s="133" t="e">
        <v>#N/A</v>
      </c>
      <c r="K93" s="133" t="e">
        <v>#N/A</v>
      </c>
      <c r="L93" s="133" t="e">
        <v>#N/A</v>
      </c>
      <c r="M93" s="133" t="s">
        <v>1678</v>
      </c>
      <c r="N93" s="133" t="e">
        <v>#N/A</v>
      </c>
      <c r="O93" s="133" t="e">
        <v>#N/A</v>
      </c>
      <c r="P93" s="133" t="e">
        <v>#N/A</v>
      </c>
      <c r="Q93" s="133" t="e">
        <v>#N/A</v>
      </c>
      <c r="R93" s="41" t="s">
        <v>118</v>
      </c>
      <c r="S93" s="41" t="e">
        <v>#N/A</v>
      </c>
      <c r="T93" s="41" t="e">
        <v>#N/A</v>
      </c>
      <c r="U93" s="41" t="s">
        <v>130</v>
      </c>
      <c r="V93" s="41" t="e">
        <v>#N/A</v>
      </c>
      <c r="W93" s="41" t="e">
        <v>#N/A</v>
      </c>
      <c r="X93" s="41" t="e">
        <v>#N/A</v>
      </c>
      <c r="Y93" s="41" t="e">
        <v>#N/A</v>
      </c>
      <c r="Z93" s="41" t="s">
        <v>154</v>
      </c>
      <c r="AA93" s="41" t="s">
        <v>159</v>
      </c>
      <c r="AB93" s="132" t="e">
        <v>#N/A</v>
      </c>
      <c r="AC93" s="133" t="e">
        <v>#N/A</v>
      </c>
      <c r="AD93" s="133" t="e">
        <v>#N/A</v>
      </c>
      <c r="AE93" s="133" t="s">
        <v>1675</v>
      </c>
      <c r="AF93" s="133" t="s">
        <v>1679</v>
      </c>
      <c r="AG93" s="133">
        <v>80788</v>
      </c>
      <c r="AH93" s="41" t="s">
        <v>161</v>
      </c>
      <c r="AI93" s="41" t="e">
        <v>#N/A</v>
      </c>
      <c r="AJ93" s="41" t="s">
        <v>185</v>
      </c>
      <c r="AK93" s="41">
        <v>900</v>
      </c>
      <c r="AL93" s="41" t="s">
        <v>191</v>
      </c>
      <c r="AM93" s="41">
        <v>600</v>
      </c>
      <c r="AN93" s="41" t="b">
        <v>1</v>
      </c>
      <c r="AO93" s="41" t="b">
        <v>0</v>
      </c>
      <c r="AP93" s="41" t="b">
        <v>0</v>
      </c>
      <c r="AQ93" s="41" t="b">
        <v>0</v>
      </c>
      <c r="AR93" s="41" t="b">
        <v>0</v>
      </c>
      <c r="AS93" s="41" t="b">
        <v>0</v>
      </c>
      <c r="AT93" s="41" t="b">
        <v>0</v>
      </c>
      <c r="AU93" s="41" t="b">
        <v>0</v>
      </c>
      <c r="AV93" s="41" t="b">
        <v>0</v>
      </c>
      <c r="AW93" s="41" t="b">
        <v>0</v>
      </c>
      <c r="AX93" s="41" t="s">
        <v>195</v>
      </c>
      <c r="AY93" s="41" t="s">
        <v>196</v>
      </c>
      <c r="AZ93" s="41" t="e">
        <v>#N/A</v>
      </c>
      <c r="BA93" s="41" t="e">
        <v>#N/A</v>
      </c>
      <c r="BB93" s="41" t="e">
        <v>#N/A</v>
      </c>
      <c r="BC93" s="41" t="e">
        <v>#N/A</v>
      </c>
      <c r="BD93" s="41" t="e">
        <v>#N/A</v>
      </c>
      <c r="BE93" s="41" t="s">
        <v>201</v>
      </c>
      <c r="BF93" s="41" t="e">
        <v>#N/A</v>
      </c>
      <c r="BG93" s="41" t="e">
        <v>#N/A</v>
      </c>
      <c r="BH93" s="41" t="e">
        <v>#N/A</v>
      </c>
      <c r="BI93" s="41" t="s">
        <v>205</v>
      </c>
      <c r="BJ93" s="41" t="e">
        <v>#N/A</v>
      </c>
      <c r="BK93" s="41" t="e">
        <v>#N/A</v>
      </c>
      <c r="BL93" s="41" t="e">
        <v>#N/A</v>
      </c>
      <c r="BM93" s="41" t="s">
        <v>206</v>
      </c>
      <c r="BN93" s="41" t="e">
        <v>#N/A</v>
      </c>
      <c r="BO93" s="41" t="e">
        <v>#N/A</v>
      </c>
      <c r="BP93" s="41" t="e">
        <v>#N/A</v>
      </c>
      <c r="BQ93" s="41" t="s">
        <v>209</v>
      </c>
      <c r="BR93" s="41" t="s">
        <v>208</v>
      </c>
      <c r="BS93" s="41" t="s">
        <v>208</v>
      </c>
      <c r="BT93" s="41" t="s">
        <v>39</v>
      </c>
      <c r="BU93" s="41" t="b">
        <v>1</v>
      </c>
      <c r="BV93" s="41" t="b">
        <v>0</v>
      </c>
      <c r="BW93" s="41" t="b">
        <v>0</v>
      </c>
      <c r="BX93" s="41" t="b">
        <v>1</v>
      </c>
      <c r="BY93" s="41" t="b">
        <v>1</v>
      </c>
      <c r="BZ93" s="41" t="b">
        <v>1</v>
      </c>
      <c r="CA93" s="41" t="b">
        <v>0</v>
      </c>
      <c r="CB93" s="41" t="b">
        <v>0</v>
      </c>
      <c r="CC93" s="41" t="b">
        <v>0</v>
      </c>
      <c r="CD93" s="41" t="e">
        <v>#N/A</v>
      </c>
      <c r="CE93" s="41" t="b">
        <v>0</v>
      </c>
      <c r="CF93" s="41" t="b">
        <v>0</v>
      </c>
      <c r="CG93" s="41" t="b">
        <v>0</v>
      </c>
      <c r="CH93" s="41" t="b">
        <v>0</v>
      </c>
      <c r="CI93" s="41" t="b">
        <v>0</v>
      </c>
      <c r="CJ93" s="41" t="b">
        <v>0</v>
      </c>
      <c r="CK93" s="41" t="b">
        <v>0</v>
      </c>
      <c r="CL93" s="41" t="b">
        <v>0</v>
      </c>
      <c r="CM93" s="41" t="b">
        <v>0</v>
      </c>
      <c r="CN93" s="41" t="s">
        <v>33</v>
      </c>
      <c r="CO93" s="58" t="e">
        <v>#N/A</v>
      </c>
      <c r="CP93" s="41" t="e">
        <v>#N/A</v>
      </c>
      <c r="CQ93" s="41" t="e">
        <v>#N/A</v>
      </c>
      <c r="CR93" s="41" t="e">
        <v>#N/A</v>
      </c>
      <c r="CS93" s="41" t="e">
        <v>#N/A</v>
      </c>
      <c r="CT93" s="41" t="e">
        <v>#N/A</v>
      </c>
      <c r="CU93" s="41" t="e">
        <v>#N/A</v>
      </c>
      <c r="CV93" s="41" t="e">
        <v>#N/A</v>
      </c>
      <c r="CW93" s="41" t="e">
        <v>#N/A</v>
      </c>
      <c r="CX93" s="41" t="b">
        <v>1</v>
      </c>
      <c r="CY93" s="41" t="b">
        <v>1</v>
      </c>
      <c r="CZ93" s="41" t="b">
        <v>1</v>
      </c>
      <c r="DA93" s="41" t="b">
        <v>1</v>
      </c>
      <c r="DB93" s="41" t="b">
        <v>1</v>
      </c>
      <c r="DC93" s="41" t="b">
        <v>1</v>
      </c>
      <c r="DD93" s="41" t="b">
        <v>1</v>
      </c>
      <c r="DE93" s="41" t="b">
        <v>1</v>
      </c>
      <c r="DF93" s="133" t="e">
        <v>#N/A</v>
      </c>
      <c r="DG93" s="41" t="e">
        <v>#N/A</v>
      </c>
      <c r="DH93" s="41" t="e">
        <v>#N/A</v>
      </c>
      <c r="DI93" s="41" t="e">
        <v>#N/A</v>
      </c>
      <c r="DJ93" s="41" t="e">
        <v>#N/A</v>
      </c>
      <c r="DK93" s="41" t="e">
        <v>#N/A</v>
      </c>
      <c r="DL93" s="41" t="e">
        <v>#N/A</v>
      </c>
      <c r="DM93" s="39" t="b">
        <f t="shared" si="2"/>
        <v>0</v>
      </c>
      <c r="DN93" s="38" t="str">
        <f t="shared" si="3"/>
        <v>2161_Indu_Z 27_ktion_XXX_500_50_F</v>
      </c>
    </row>
    <row r="94" spans="1:118" ht="15.75" customHeight="1" x14ac:dyDescent="0.25">
      <c r="A94" s="37">
        <v>89</v>
      </c>
      <c r="C94" s="140">
        <v>2842</v>
      </c>
      <c r="D94" s="133" t="s">
        <v>1680</v>
      </c>
      <c r="E94" s="41" t="s">
        <v>109</v>
      </c>
      <c r="F94" s="133" t="s">
        <v>1681</v>
      </c>
      <c r="G94" s="133" t="s">
        <v>576</v>
      </c>
      <c r="H94" s="133">
        <v>92536</v>
      </c>
      <c r="I94" s="41" t="s">
        <v>114</v>
      </c>
      <c r="J94" s="133" t="s">
        <v>1682</v>
      </c>
      <c r="K94" s="133" t="e">
        <v>#N/A</v>
      </c>
      <c r="L94" s="133" t="s">
        <v>1683</v>
      </c>
      <c r="M94" s="133" t="s">
        <v>1684</v>
      </c>
      <c r="N94" s="133" t="s">
        <v>1685</v>
      </c>
      <c r="O94" s="133" t="s">
        <v>1686</v>
      </c>
      <c r="P94" s="133" t="s">
        <v>1687</v>
      </c>
      <c r="Q94" s="133" t="s">
        <v>1688</v>
      </c>
      <c r="R94" s="41" t="s">
        <v>118</v>
      </c>
      <c r="S94" s="41" t="e">
        <v>#N/A</v>
      </c>
      <c r="T94" s="41" t="e">
        <v>#N/A</v>
      </c>
      <c r="U94" s="151" t="s">
        <v>1695</v>
      </c>
      <c r="V94" s="41" t="e">
        <v>#N/A</v>
      </c>
      <c r="W94" s="41" t="e">
        <v>#N/A</v>
      </c>
      <c r="X94" s="41" t="e">
        <v>#N/A</v>
      </c>
      <c r="Y94" s="41" t="s">
        <v>1689</v>
      </c>
      <c r="Z94" s="41" t="s">
        <v>149</v>
      </c>
      <c r="AA94" s="41" t="s">
        <v>157</v>
      </c>
      <c r="AB94" s="132" t="s">
        <v>159</v>
      </c>
      <c r="AC94" s="133" t="s">
        <v>1690</v>
      </c>
      <c r="AD94" s="133" t="s">
        <v>1691</v>
      </c>
      <c r="AE94" s="133" t="e">
        <v>#N/A</v>
      </c>
      <c r="AF94" s="133" t="e">
        <v>#N/A</v>
      </c>
      <c r="AG94" s="133" t="e">
        <v>#N/A</v>
      </c>
      <c r="AH94" s="41" t="s">
        <v>161</v>
      </c>
      <c r="AI94" s="41" t="s">
        <v>177</v>
      </c>
      <c r="AJ94" s="41" t="s">
        <v>182</v>
      </c>
      <c r="AK94" s="41" t="e">
        <v>#N/A</v>
      </c>
      <c r="AL94" s="41" t="s">
        <v>188</v>
      </c>
      <c r="AM94" s="41" t="e">
        <v>#N/A</v>
      </c>
      <c r="AN94" s="41" t="b">
        <v>0</v>
      </c>
      <c r="AO94" s="41" t="b">
        <v>0</v>
      </c>
      <c r="AP94" s="41" t="b">
        <v>0</v>
      </c>
      <c r="AQ94" s="41" t="b">
        <v>0</v>
      </c>
      <c r="AR94" s="41" t="b">
        <v>0</v>
      </c>
      <c r="AS94" s="41" t="b">
        <v>0</v>
      </c>
      <c r="AT94" s="41" t="b">
        <v>1</v>
      </c>
      <c r="AU94" s="41" t="b">
        <v>1</v>
      </c>
      <c r="AV94" s="41" t="b">
        <v>0</v>
      </c>
      <c r="AW94" s="41" t="b">
        <v>0</v>
      </c>
      <c r="AX94" s="41" t="s">
        <v>195</v>
      </c>
      <c r="AY94" s="41" t="s">
        <v>196</v>
      </c>
      <c r="AZ94" s="41" t="e">
        <v>#N/A</v>
      </c>
      <c r="BA94" s="41" t="e">
        <v>#N/A</v>
      </c>
      <c r="BB94" s="41" t="e">
        <v>#N/A</v>
      </c>
      <c r="BC94" s="41" t="e">
        <v>#N/A</v>
      </c>
      <c r="BD94" s="41" t="e">
        <v>#N/A</v>
      </c>
      <c r="BE94" s="41" t="s">
        <v>205</v>
      </c>
      <c r="BF94" s="41" t="e">
        <v>#N/A</v>
      </c>
      <c r="BG94" s="41" t="e">
        <v>#N/A</v>
      </c>
      <c r="BH94" s="41" t="e">
        <v>#N/A</v>
      </c>
      <c r="BI94" s="41" t="e">
        <v>#N/A</v>
      </c>
      <c r="BJ94" s="41" t="e">
        <v>#N/A</v>
      </c>
      <c r="BK94" s="41" t="e">
        <v>#N/A</v>
      </c>
      <c r="BL94" s="41" t="e">
        <v>#N/A</v>
      </c>
      <c r="BM94" s="41" t="e">
        <v>#N/A</v>
      </c>
      <c r="BN94" s="41" t="e">
        <v>#N/A</v>
      </c>
      <c r="BO94" s="41" t="e">
        <v>#N/A</v>
      </c>
      <c r="BP94" s="41" t="e">
        <v>#N/A</v>
      </c>
      <c r="BQ94" s="41" t="s">
        <v>208</v>
      </c>
      <c r="BR94" s="41" t="e">
        <v>#N/A</v>
      </c>
      <c r="BS94" s="41" t="s">
        <v>208</v>
      </c>
      <c r="BT94" s="41" t="s">
        <v>33</v>
      </c>
      <c r="BU94" s="41" t="b">
        <v>0</v>
      </c>
      <c r="BV94" s="41" t="b">
        <v>0</v>
      </c>
      <c r="BW94" s="41" t="b">
        <v>0</v>
      </c>
      <c r="BX94" s="41" t="b">
        <v>0</v>
      </c>
      <c r="BY94" s="41" t="b">
        <v>0</v>
      </c>
      <c r="BZ94" s="41" t="b">
        <v>0</v>
      </c>
      <c r="CA94" s="41" t="b">
        <v>0</v>
      </c>
      <c r="CB94" s="41" t="b">
        <v>0</v>
      </c>
      <c r="CC94" s="41" t="b">
        <v>1</v>
      </c>
      <c r="CD94" s="41" t="s">
        <v>716</v>
      </c>
      <c r="CE94" s="41" t="b">
        <v>0</v>
      </c>
      <c r="CF94" s="41" t="b">
        <v>0</v>
      </c>
      <c r="CG94" s="41" t="b">
        <v>0</v>
      </c>
      <c r="CH94" s="41" t="b">
        <v>0</v>
      </c>
      <c r="CI94" s="41" t="b">
        <v>0</v>
      </c>
      <c r="CJ94" s="41" t="b">
        <v>0</v>
      </c>
      <c r="CK94" s="41" t="b">
        <v>0</v>
      </c>
      <c r="CL94" s="41" t="b">
        <v>0</v>
      </c>
      <c r="CM94" s="41" t="b">
        <v>0</v>
      </c>
      <c r="CN94" s="41" t="s">
        <v>33</v>
      </c>
      <c r="CO94" s="58" t="s">
        <v>213</v>
      </c>
      <c r="CP94" s="41" t="e">
        <v>#N/A</v>
      </c>
      <c r="CQ94" s="41" t="e">
        <v>#N/A</v>
      </c>
      <c r="CR94" s="41" t="e">
        <v>#N/A</v>
      </c>
      <c r="CS94" s="41" t="e">
        <v>#N/A</v>
      </c>
      <c r="CT94" s="41" t="e">
        <v>#N/A</v>
      </c>
      <c r="CU94" s="41" t="e">
        <v>#N/A</v>
      </c>
      <c r="CV94" s="41" t="e">
        <v>#N/A</v>
      </c>
      <c r="CW94" s="41" t="s">
        <v>217</v>
      </c>
      <c r="CX94" s="41" t="b">
        <v>0</v>
      </c>
      <c r="CY94" s="41" t="b">
        <v>0</v>
      </c>
      <c r="CZ94" s="41" t="b">
        <v>0</v>
      </c>
      <c r="DA94" s="41" t="b">
        <v>0</v>
      </c>
      <c r="DB94" s="41" t="b">
        <v>1</v>
      </c>
      <c r="DC94" s="41" t="b">
        <v>1</v>
      </c>
      <c r="DD94" s="41" t="b">
        <v>0</v>
      </c>
      <c r="DE94" s="41" t="b">
        <v>0</v>
      </c>
      <c r="DF94" s="133" t="s">
        <v>1692</v>
      </c>
      <c r="DG94" s="41" t="s">
        <v>234</v>
      </c>
      <c r="DH94" s="41" t="s">
        <v>233</v>
      </c>
      <c r="DI94" s="41" t="s">
        <v>1693</v>
      </c>
      <c r="DJ94" s="41" t="s">
        <v>1245</v>
      </c>
      <c r="DK94" s="41" t="s">
        <v>1694</v>
      </c>
      <c r="DL94" s="41" t="e">
        <v>#N/A</v>
      </c>
      <c r="DM94" s="39" t="b">
        <f t="shared" si="2"/>
        <v>0</v>
      </c>
      <c r="DN94" s="38" t="str">
        <f t="shared" si="3"/>
        <v>2842_Indu_Z 25_ktion_5 M_50 _10_F</v>
      </c>
    </row>
    <row r="95" spans="1:118" ht="15.75" customHeight="1" x14ac:dyDescent="0.25">
      <c r="A95" s="37">
        <v>90</v>
      </c>
      <c r="C95" s="140">
        <v>8799</v>
      </c>
      <c r="D95" s="133" t="e">
        <v>#N/A</v>
      </c>
      <c r="E95" s="41" t="e">
        <v>#N/A</v>
      </c>
      <c r="F95" s="133" t="e">
        <v>#N/A</v>
      </c>
      <c r="G95" s="133" t="e">
        <v>#N/A</v>
      </c>
      <c r="H95" s="133" t="e">
        <v>#N/A</v>
      </c>
      <c r="I95" s="41" t="e">
        <v>#N/A</v>
      </c>
      <c r="J95" s="133" t="e">
        <v>#N/A</v>
      </c>
      <c r="K95" s="133" t="e">
        <v>#N/A</v>
      </c>
      <c r="L95" s="133" t="e">
        <v>#N/A</v>
      </c>
      <c r="M95" s="133" t="e">
        <v>#N/A</v>
      </c>
      <c r="N95" s="133" t="e">
        <v>#N/A</v>
      </c>
      <c r="O95" s="133" t="e">
        <v>#N/A</v>
      </c>
      <c r="P95" s="133" t="e">
        <v>#N/A</v>
      </c>
      <c r="Q95" s="133" t="e">
        <v>#N/A</v>
      </c>
      <c r="R95" s="41" t="e">
        <v>#N/A</v>
      </c>
      <c r="S95" s="41" t="e">
        <v>#N/A</v>
      </c>
      <c r="T95" s="41" t="e">
        <v>#N/A</v>
      </c>
      <c r="U95" s="41" t="e">
        <v>#N/A</v>
      </c>
      <c r="V95" s="41" t="e">
        <v>#N/A</v>
      </c>
      <c r="W95" s="41" t="e">
        <v>#N/A</v>
      </c>
      <c r="X95" s="41" t="e">
        <v>#N/A</v>
      </c>
      <c r="Y95" s="41" t="e">
        <v>#N/A</v>
      </c>
      <c r="Z95" s="41" t="e">
        <v>#N/A</v>
      </c>
      <c r="AA95" s="41" t="e">
        <v>#N/A</v>
      </c>
      <c r="AB95" s="132" t="e">
        <v>#N/A</v>
      </c>
      <c r="AC95" s="133" t="e">
        <v>#N/A</v>
      </c>
      <c r="AD95" s="133" t="e">
        <v>#N/A</v>
      </c>
      <c r="AE95" s="133" t="e">
        <v>#N/A</v>
      </c>
      <c r="AF95" s="133" t="e">
        <v>#N/A</v>
      </c>
      <c r="AG95" s="133" t="e">
        <v>#N/A</v>
      </c>
      <c r="AH95" s="41" t="e">
        <v>#N/A</v>
      </c>
      <c r="AI95" s="41" t="e">
        <v>#N/A</v>
      </c>
      <c r="AJ95" s="41" t="e">
        <v>#N/A</v>
      </c>
      <c r="AK95" s="41" t="e">
        <v>#N/A</v>
      </c>
      <c r="AL95" s="41" t="e">
        <v>#N/A</v>
      </c>
      <c r="AM95" s="41" t="e">
        <v>#N/A</v>
      </c>
      <c r="AN95" s="41" t="e">
        <v>#N/A</v>
      </c>
      <c r="AO95" s="41" t="e">
        <v>#N/A</v>
      </c>
      <c r="AP95" s="41" t="e">
        <v>#N/A</v>
      </c>
      <c r="AQ95" s="41" t="e">
        <v>#N/A</v>
      </c>
      <c r="AR95" s="41" t="e">
        <v>#N/A</v>
      </c>
      <c r="AS95" s="41" t="e">
        <v>#N/A</v>
      </c>
      <c r="AT95" s="41" t="e">
        <v>#N/A</v>
      </c>
      <c r="AU95" s="41" t="e">
        <v>#N/A</v>
      </c>
      <c r="AV95" s="41" t="e">
        <v>#N/A</v>
      </c>
      <c r="AW95" s="41" t="e">
        <v>#N/A</v>
      </c>
      <c r="AX95" s="41" t="e">
        <v>#N/A</v>
      </c>
      <c r="AY95" s="41" t="e">
        <v>#N/A</v>
      </c>
      <c r="AZ95" s="41" t="e">
        <v>#N/A</v>
      </c>
      <c r="BA95" s="41" t="e">
        <v>#N/A</v>
      </c>
      <c r="BB95" s="41" t="e">
        <v>#N/A</v>
      </c>
      <c r="BC95" s="41" t="e">
        <v>#N/A</v>
      </c>
      <c r="BD95" s="41" t="e">
        <v>#N/A</v>
      </c>
      <c r="BE95" s="41" t="e">
        <v>#N/A</v>
      </c>
      <c r="BF95" s="41" t="e">
        <v>#N/A</v>
      </c>
      <c r="BG95" s="41" t="e">
        <v>#N/A</v>
      </c>
      <c r="BH95" s="41" t="e">
        <v>#N/A</v>
      </c>
      <c r="BI95" s="41" t="e">
        <v>#N/A</v>
      </c>
      <c r="BJ95" s="41" t="e">
        <v>#N/A</v>
      </c>
      <c r="BK95" s="41" t="e">
        <v>#N/A</v>
      </c>
      <c r="BL95" s="41" t="e">
        <v>#N/A</v>
      </c>
      <c r="BM95" s="41" t="e">
        <v>#N/A</v>
      </c>
      <c r="BN95" s="41" t="e">
        <v>#N/A</v>
      </c>
      <c r="BO95" s="41" t="e">
        <v>#N/A</v>
      </c>
      <c r="BP95" s="41" t="e">
        <v>#N/A</v>
      </c>
      <c r="BQ95" s="41" t="e">
        <v>#N/A</v>
      </c>
      <c r="BR95" s="41" t="e">
        <v>#N/A</v>
      </c>
      <c r="BS95" s="41" t="e">
        <v>#N/A</v>
      </c>
      <c r="BT95" s="41" t="e">
        <v>#N/A</v>
      </c>
      <c r="BU95" s="41" t="e">
        <v>#N/A</v>
      </c>
      <c r="BV95" s="41" t="e">
        <v>#N/A</v>
      </c>
      <c r="BW95" s="41" t="e">
        <v>#N/A</v>
      </c>
      <c r="BX95" s="41" t="e">
        <v>#N/A</v>
      </c>
      <c r="BY95" s="41" t="e">
        <v>#N/A</v>
      </c>
      <c r="BZ95" s="41" t="e">
        <v>#N/A</v>
      </c>
      <c r="CA95" s="41" t="e">
        <v>#N/A</v>
      </c>
      <c r="CB95" s="41" t="e">
        <v>#N/A</v>
      </c>
      <c r="CC95" s="41" t="e">
        <v>#N/A</v>
      </c>
      <c r="CD95" s="41" t="e">
        <v>#N/A</v>
      </c>
      <c r="CE95" s="41" t="e">
        <v>#N/A</v>
      </c>
      <c r="CF95" s="41" t="e">
        <v>#N/A</v>
      </c>
      <c r="CG95" s="41" t="e">
        <v>#N/A</v>
      </c>
      <c r="CH95" s="41" t="e">
        <v>#N/A</v>
      </c>
      <c r="CI95" s="41" t="e">
        <v>#N/A</v>
      </c>
      <c r="CJ95" s="41" t="e">
        <v>#N/A</v>
      </c>
      <c r="CK95" s="41" t="e">
        <v>#N/A</v>
      </c>
      <c r="CL95" s="41" t="e">
        <v>#N/A</v>
      </c>
      <c r="CM95" s="41" t="e">
        <v>#N/A</v>
      </c>
      <c r="CN95" s="41" t="e">
        <v>#N/A</v>
      </c>
      <c r="CO95" s="58" t="e">
        <v>#N/A</v>
      </c>
      <c r="CP95" s="41" t="e">
        <v>#N/A</v>
      </c>
      <c r="CQ95" s="41" t="e">
        <v>#N/A</v>
      </c>
      <c r="CR95" s="41" t="e">
        <v>#N/A</v>
      </c>
      <c r="CS95" s="41" t="e">
        <v>#N/A</v>
      </c>
      <c r="CT95" s="41" t="e">
        <v>#N/A</v>
      </c>
      <c r="CU95" s="41" t="e">
        <v>#N/A</v>
      </c>
      <c r="CV95" s="41" t="e">
        <v>#N/A</v>
      </c>
      <c r="CW95" s="41" t="e">
        <v>#N/A</v>
      </c>
      <c r="CX95" s="41" t="e">
        <v>#N/A</v>
      </c>
      <c r="CY95" s="41" t="e">
        <v>#N/A</v>
      </c>
      <c r="CZ95" s="41" t="e">
        <v>#N/A</v>
      </c>
      <c r="DA95" s="41" t="e">
        <v>#N/A</v>
      </c>
      <c r="DB95" s="41" t="e">
        <v>#N/A</v>
      </c>
      <c r="DC95" s="41" t="e">
        <v>#N/A</v>
      </c>
      <c r="DD95" s="41" t="e">
        <v>#N/A</v>
      </c>
      <c r="DE95" s="41" t="e">
        <v>#N/A</v>
      </c>
      <c r="DF95" s="133" t="e">
        <v>#N/A</v>
      </c>
      <c r="DG95" s="41" t="e">
        <v>#N/A</v>
      </c>
      <c r="DH95" s="41" t="e">
        <v>#N/A</v>
      </c>
      <c r="DI95" s="41" t="e">
        <v>#N/A</v>
      </c>
      <c r="DJ95" s="41" t="e">
        <v>#N/A</v>
      </c>
      <c r="DK95" s="41" t="e">
        <v>#N/A</v>
      </c>
      <c r="DL95" s="41" t="e">
        <v>#N/A</v>
      </c>
      <c r="DM95" s="39" t="e">
        <f t="shared" si="2"/>
        <v>#N/A</v>
      </c>
      <c r="DN95" s="41" t="e">
        <v>#N/A</v>
      </c>
    </row>
    <row r="96" spans="1:118" ht="15.75" customHeight="1" x14ac:dyDescent="0.25">
      <c r="A96" s="37">
        <v>91</v>
      </c>
      <c r="C96" s="140">
        <v>4381</v>
      </c>
      <c r="D96" s="133" t="e">
        <v>#N/A</v>
      </c>
      <c r="E96" s="41" t="e">
        <v>#N/A</v>
      </c>
      <c r="F96" s="133" t="e">
        <v>#N/A</v>
      </c>
      <c r="G96" s="133" t="e">
        <v>#N/A</v>
      </c>
      <c r="H96" s="133" t="e">
        <v>#N/A</v>
      </c>
      <c r="I96" s="41" t="e">
        <v>#N/A</v>
      </c>
      <c r="J96" s="133" t="e">
        <v>#N/A</v>
      </c>
      <c r="K96" s="133" t="e">
        <v>#N/A</v>
      </c>
      <c r="L96" s="133" t="e">
        <v>#N/A</v>
      </c>
      <c r="M96" s="133" t="e">
        <v>#N/A</v>
      </c>
      <c r="N96" s="133" t="e">
        <v>#N/A</v>
      </c>
      <c r="O96" s="133" t="e">
        <v>#N/A</v>
      </c>
      <c r="P96" s="133" t="e">
        <v>#N/A</v>
      </c>
      <c r="Q96" s="133" t="e">
        <v>#N/A</v>
      </c>
      <c r="R96" s="41" t="e">
        <v>#N/A</v>
      </c>
      <c r="S96" s="41" t="e">
        <v>#N/A</v>
      </c>
      <c r="T96" s="41" t="e">
        <v>#N/A</v>
      </c>
      <c r="U96" s="41" t="e">
        <v>#N/A</v>
      </c>
      <c r="V96" s="41" t="e">
        <v>#N/A</v>
      </c>
      <c r="W96" s="41" t="e">
        <v>#N/A</v>
      </c>
      <c r="X96" s="41" t="e">
        <v>#N/A</v>
      </c>
      <c r="Y96" s="41" t="e">
        <v>#N/A</v>
      </c>
      <c r="Z96" s="41" t="e">
        <v>#N/A</v>
      </c>
      <c r="AA96" s="41" t="e">
        <v>#N/A</v>
      </c>
      <c r="AB96" s="133" t="e">
        <v>#N/A</v>
      </c>
      <c r="AC96" s="133" t="e">
        <v>#N/A</v>
      </c>
      <c r="AD96" s="133" t="e">
        <v>#N/A</v>
      </c>
      <c r="AE96" s="133" t="e">
        <v>#N/A</v>
      </c>
      <c r="AF96" s="133" t="e">
        <v>#N/A</v>
      </c>
      <c r="AG96" s="133" t="e">
        <v>#N/A</v>
      </c>
      <c r="AH96" s="41" t="e">
        <v>#N/A</v>
      </c>
      <c r="AI96" s="41" t="e">
        <v>#N/A</v>
      </c>
      <c r="AJ96" s="41" t="e">
        <v>#N/A</v>
      </c>
      <c r="AK96" s="41" t="e">
        <v>#N/A</v>
      </c>
      <c r="AL96" s="41" t="e">
        <v>#N/A</v>
      </c>
      <c r="AM96" s="41" t="e">
        <v>#N/A</v>
      </c>
      <c r="AN96" s="41" t="e">
        <v>#N/A</v>
      </c>
      <c r="AO96" s="41" t="e">
        <v>#N/A</v>
      </c>
      <c r="AP96" s="41" t="e">
        <v>#N/A</v>
      </c>
      <c r="AQ96" s="41" t="e">
        <v>#N/A</v>
      </c>
      <c r="AR96" s="41" t="e">
        <v>#N/A</v>
      </c>
      <c r="AS96" s="41" t="e">
        <v>#N/A</v>
      </c>
      <c r="AT96" s="41" t="e">
        <v>#N/A</v>
      </c>
      <c r="AU96" s="41" t="e">
        <v>#N/A</v>
      </c>
      <c r="AV96" s="41" t="e">
        <v>#N/A</v>
      </c>
      <c r="AW96" s="41" t="e">
        <v>#N/A</v>
      </c>
      <c r="AX96" s="41" t="e">
        <v>#N/A</v>
      </c>
      <c r="AY96" s="41" t="e">
        <v>#N/A</v>
      </c>
      <c r="AZ96" s="41" t="e">
        <v>#N/A</v>
      </c>
      <c r="BA96" s="41" t="e">
        <v>#N/A</v>
      </c>
      <c r="BB96" s="41" t="e">
        <v>#N/A</v>
      </c>
      <c r="BC96" s="41" t="e">
        <v>#N/A</v>
      </c>
      <c r="BD96" s="41" t="e">
        <v>#N/A</v>
      </c>
      <c r="BE96" s="41" t="e">
        <v>#N/A</v>
      </c>
      <c r="BF96" s="41" t="e">
        <v>#N/A</v>
      </c>
      <c r="BG96" s="41" t="e">
        <v>#N/A</v>
      </c>
      <c r="BH96" s="41" t="e">
        <v>#N/A</v>
      </c>
      <c r="BI96" s="41" t="e">
        <v>#N/A</v>
      </c>
      <c r="BJ96" s="41" t="e">
        <v>#N/A</v>
      </c>
      <c r="BK96" s="41" t="e">
        <v>#N/A</v>
      </c>
      <c r="BL96" s="41" t="e">
        <v>#N/A</v>
      </c>
      <c r="BM96" s="41" t="e">
        <v>#N/A</v>
      </c>
      <c r="BN96" s="41" t="e">
        <v>#N/A</v>
      </c>
      <c r="BO96" s="41" t="e">
        <v>#N/A</v>
      </c>
      <c r="BP96" s="41" t="e">
        <v>#N/A</v>
      </c>
      <c r="BQ96" s="41" t="e">
        <v>#N/A</v>
      </c>
      <c r="BR96" s="41" t="e">
        <v>#N/A</v>
      </c>
      <c r="BS96" s="41" t="e">
        <v>#N/A</v>
      </c>
      <c r="BT96" s="41" t="e">
        <v>#N/A</v>
      </c>
      <c r="BU96" s="41" t="e">
        <v>#N/A</v>
      </c>
      <c r="BV96" s="41" t="e">
        <v>#N/A</v>
      </c>
      <c r="BW96" s="41" t="e">
        <v>#N/A</v>
      </c>
      <c r="BX96" s="41" t="e">
        <v>#N/A</v>
      </c>
      <c r="BY96" s="41" t="e">
        <v>#N/A</v>
      </c>
      <c r="BZ96" s="41" t="e">
        <v>#N/A</v>
      </c>
      <c r="CA96" s="41" t="e">
        <v>#N/A</v>
      </c>
      <c r="CB96" s="41" t="e">
        <v>#N/A</v>
      </c>
      <c r="CC96" s="41" t="e">
        <v>#N/A</v>
      </c>
      <c r="CD96" s="41" t="e">
        <v>#N/A</v>
      </c>
      <c r="CE96" s="41" t="e">
        <v>#N/A</v>
      </c>
      <c r="CF96" s="41" t="e">
        <v>#N/A</v>
      </c>
      <c r="CG96" s="41" t="e">
        <v>#N/A</v>
      </c>
      <c r="CH96" s="41" t="e">
        <v>#N/A</v>
      </c>
      <c r="CI96" s="41" t="e">
        <v>#N/A</v>
      </c>
      <c r="CJ96" s="41" t="e">
        <v>#N/A</v>
      </c>
      <c r="CK96" s="41" t="e">
        <v>#N/A</v>
      </c>
      <c r="CL96" s="41" t="e">
        <v>#N/A</v>
      </c>
      <c r="CM96" s="41" t="e">
        <v>#N/A</v>
      </c>
      <c r="CN96" s="41" t="e">
        <v>#N/A</v>
      </c>
      <c r="CO96" s="58" t="e">
        <v>#N/A</v>
      </c>
      <c r="CP96" s="41" t="e">
        <v>#N/A</v>
      </c>
      <c r="CQ96" s="41" t="e">
        <v>#N/A</v>
      </c>
      <c r="CR96" s="41" t="e">
        <v>#N/A</v>
      </c>
      <c r="CS96" s="41" t="e">
        <v>#N/A</v>
      </c>
      <c r="CT96" s="41" t="e">
        <v>#N/A</v>
      </c>
      <c r="CU96" s="41" t="e">
        <v>#N/A</v>
      </c>
      <c r="CV96" s="41" t="e">
        <v>#N/A</v>
      </c>
      <c r="CW96" s="41" t="e">
        <v>#N/A</v>
      </c>
      <c r="CX96" s="41" t="e">
        <v>#N/A</v>
      </c>
      <c r="CY96" s="41" t="e">
        <v>#N/A</v>
      </c>
      <c r="CZ96" s="41" t="e">
        <v>#N/A</v>
      </c>
      <c r="DA96" s="41" t="e">
        <v>#N/A</v>
      </c>
      <c r="DB96" s="41" t="e">
        <v>#N/A</v>
      </c>
      <c r="DC96" s="41" t="e">
        <v>#N/A</v>
      </c>
      <c r="DD96" s="41" t="e">
        <v>#N/A</v>
      </c>
      <c r="DE96" s="41" t="e">
        <v>#N/A</v>
      </c>
      <c r="DF96" s="133" t="e">
        <v>#N/A</v>
      </c>
      <c r="DG96" s="41" t="e">
        <v>#N/A</v>
      </c>
      <c r="DH96" s="41" t="e">
        <v>#N/A</v>
      </c>
      <c r="DI96" s="41" t="e">
        <v>#N/A</v>
      </c>
      <c r="DJ96" s="41" t="e">
        <v>#N/A</v>
      </c>
      <c r="DK96" s="41" t="e">
        <v>#N/A</v>
      </c>
      <c r="DL96" s="41" t="e">
        <v>#N/A</v>
      </c>
      <c r="DM96" s="39" t="e">
        <f t="shared" si="2"/>
        <v>#N/A</v>
      </c>
      <c r="DN96" s="41" t="e">
        <v>#N/A</v>
      </c>
    </row>
    <row r="97" spans="1:118" ht="15.75" customHeight="1" x14ac:dyDescent="0.25">
      <c r="A97" s="37">
        <v>92</v>
      </c>
      <c r="C97" s="140">
        <v>9763</v>
      </c>
      <c r="D97" s="133" t="e">
        <v>#N/A</v>
      </c>
      <c r="E97" s="41" t="e">
        <v>#N/A</v>
      </c>
      <c r="F97" s="133" t="e">
        <v>#N/A</v>
      </c>
      <c r="G97" s="133" t="e">
        <v>#N/A</v>
      </c>
      <c r="H97" s="133" t="e">
        <v>#N/A</v>
      </c>
      <c r="I97" s="41" t="e">
        <v>#N/A</v>
      </c>
      <c r="J97" s="133" t="e">
        <v>#N/A</v>
      </c>
      <c r="K97" s="133" t="e">
        <v>#N/A</v>
      </c>
      <c r="L97" s="133" t="e">
        <v>#N/A</v>
      </c>
      <c r="M97" s="133" t="e">
        <v>#N/A</v>
      </c>
      <c r="N97" s="133" t="e">
        <v>#N/A</v>
      </c>
      <c r="O97" s="133" t="e">
        <v>#N/A</v>
      </c>
      <c r="P97" s="133" t="e">
        <v>#N/A</v>
      </c>
      <c r="Q97" s="133" t="e">
        <v>#N/A</v>
      </c>
      <c r="R97" s="41" t="e">
        <v>#N/A</v>
      </c>
      <c r="S97" s="41" t="e">
        <v>#N/A</v>
      </c>
      <c r="T97" s="41" t="e">
        <v>#N/A</v>
      </c>
      <c r="U97" s="41" t="e">
        <v>#N/A</v>
      </c>
      <c r="V97" s="41" t="e">
        <v>#N/A</v>
      </c>
      <c r="W97" s="41" t="e">
        <v>#N/A</v>
      </c>
      <c r="X97" s="41" t="e">
        <v>#N/A</v>
      </c>
      <c r="Y97" s="41" t="e">
        <v>#N/A</v>
      </c>
      <c r="Z97" s="41" t="e">
        <v>#N/A</v>
      </c>
      <c r="AA97" s="41" t="e">
        <v>#N/A</v>
      </c>
      <c r="AB97" s="133" t="e">
        <v>#N/A</v>
      </c>
      <c r="AC97" s="133" t="e">
        <v>#N/A</v>
      </c>
      <c r="AD97" s="133" t="e">
        <v>#N/A</v>
      </c>
      <c r="AE97" s="133" t="e">
        <v>#N/A</v>
      </c>
      <c r="AF97" s="133" t="e">
        <v>#N/A</v>
      </c>
      <c r="AG97" s="133" t="e">
        <v>#N/A</v>
      </c>
      <c r="AH97" s="41" t="e">
        <v>#N/A</v>
      </c>
      <c r="AI97" s="41" t="e">
        <v>#N/A</v>
      </c>
      <c r="AJ97" s="41" t="e">
        <v>#N/A</v>
      </c>
      <c r="AK97" s="41" t="e">
        <v>#N/A</v>
      </c>
      <c r="AL97" s="41" t="e">
        <v>#N/A</v>
      </c>
      <c r="AM97" s="41" t="e">
        <v>#N/A</v>
      </c>
      <c r="AN97" s="41" t="e">
        <v>#N/A</v>
      </c>
      <c r="AO97" s="41" t="e">
        <v>#N/A</v>
      </c>
      <c r="AP97" s="41" t="e">
        <v>#N/A</v>
      </c>
      <c r="AQ97" s="41" t="e">
        <v>#N/A</v>
      </c>
      <c r="AR97" s="41" t="e">
        <v>#N/A</v>
      </c>
      <c r="AS97" s="41" t="e">
        <v>#N/A</v>
      </c>
      <c r="AT97" s="41" t="e">
        <v>#N/A</v>
      </c>
      <c r="AU97" s="41" t="e">
        <v>#N/A</v>
      </c>
      <c r="AV97" s="41" t="e">
        <v>#N/A</v>
      </c>
      <c r="AW97" s="41" t="e">
        <v>#N/A</v>
      </c>
      <c r="AX97" s="41" t="e">
        <v>#N/A</v>
      </c>
      <c r="AY97" s="41" t="e">
        <v>#N/A</v>
      </c>
      <c r="AZ97" s="41" t="e">
        <v>#N/A</v>
      </c>
      <c r="BA97" s="41" t="e">
        <v>#N/A</v>
      </c>
      <c r="BB97" s="41" t="e">
        <v>#N/A</v>
      </c>
      <c r="BC97" s="41" t="e">
        <v>#N/A</v>
      </c>
      <c r="BD97" s="41" t="e">
        <v>#N/A</v>
      </c>
      <c r="BE97" s="41" t="e">
        <v>#N/A</v>
      </c>
      <c r="BF97" s="41" t="e">
        <v>#N/A</v>
      </c>
      <c r="BG97" s="41" t="e">
        <v>#N/A</v>
      </c>
      <c r="BH97" s="41" t="e">
        <v>#N/A</v>
      </c>
      <c r="BI97" s="41" t="e">
        <v>#N/A</v>
      </c>
      <c r="BJ97" s="41" t="e">
        <v>#N/A</v>
      </c>
      <c r="BK97" s="41" t="e">
        <v>#N/A</v>
      </c>
      <c r="BL97" s="41" t="e">
        <v>#N/A</v>
      </c>
      <c r="BM97" s="41" t="e">
        <v>#N/A</v>
      </c>
      <c r="BN97" s="41" t="e">
        <v>#N/A</v>
      </c>
      <c r="BO97" s="41" t="e">
        <v>#N/A</v>
      </c>
      <c r="BP97" s="41" t="e">
        <v>#N/A</v>
      </c>
      <c r="BQ97" s="41" t="e">
        <v>#N/A</v>
      </c>
      <c r="BR97" s="41" t="e">
        <v>#N/A</v>
      </c>
      <c r="BS97" s="41" t="e">
        <v>#N/A</v>
      </c>
      <c r="BT97" s="41" t="e">
        <v>#N/A</v>
      </c>
      <c r="BU97" s="41" t="e">
        <v>#N/A</v>
      </c>
      <c r="BV97" s="41" t="e">
        <v>#N/A</v>
      </c>
      <c r="BW97" s="41" t="e">
        <v>#N/A</v>
      </c>
      <c r="BX97" s="41" t="e">
        <v>#N/A</v>
      </c>
      <c r="BY97" s="41" t="e">
        <v>#N/A</v>
      </c>
      <c r="BZ97" s="41" t="e">
        <v>#N/A</v>
      </c>
      <c r="CA97" s="41" t="e">
        <v>#N/A</v>
      </c>
      <c r="CB97" s="41" t="e">
        <v>#N/A</v>
      </c>
      <c r="CC97" s="41" t="e">
        <v>#N/A</v>
      </c>
      <c r="CD97" s="41" t="e">
        <v>#N/A</v>
      </c>
      <c r="CE97" s="41" t="e">
        <v>#N/A</v>
      </c>
      <c r="CF97" s="41" t="e">
        <v>#N/A</v>
      </c>
      <c r="CG97" s="41" t="e">
        <v>#N/A</v>
      </c>
      <c r="CH97" s="41" t="e">
        <v>#N/A</v>
      </c>
      <c r="CI97" s="41" t="e">
        <v>#N/A</v>
      </c>
      <c r="CJ97" s="41" t="e">
        <v>#N/A</v>
      </c>
      <c r="CK97" s="41" t="e">
        <v>#N/A</v>
      </c>
      <c r="CL97" s="41" t="e">
        <v>#N/A</v>
      </c>
      <c r="CM97" s="41" t="e">
        <v>#N/A</v>
      </c>
      <c r="CN97" s="41" t="e">
        <v>#N/A</v>
      </c>
      <c r="CO97" s="58" t="e">
        <v>#N/A</v>
      </c>
      <c r="CP97" s="41" t="e">
        <v>#N/A</v>
      </c>
      <c r="CQ97" s="41" t="e">
        <v>#N/A</v>
      </c>
      <c r="CR97" s="41" t="e">
        <v>#N/A</v>
      </c>
      <c r="CS97" s="41" t="e">
        <v>#N/A</v>
      </c>
      <c r="CT97" s="41" t="e">
        <v>#N/A</v>
      </c>
      <c r="CU97" s="41" t="e">
        <v>#N/A</v>
      </c>
      <c r="CV97" s="41" t="e">
        <v>#N/A</v>
      </c>
      <c r="CW97" s="41" t="e">
        <v>#N/A</v>
      </c>
      <c r="CX97" s="41" t="e">
        <v>#N/A</v>
      </c>
      <c r="CY97" s="41" t="e">
        <v>#N/A</v>
      </c>
      <c r="CZ97" s="41" t="e">
        <v>#N/A</v>
      </c>
      <c r="DA97" s="41" t="e">
        <v>#N/A</v>
      </c>
      <c r="DB97" s="41" t="e">
        <v>#N/A</v>
      </c>
      <c r="DC97" s="41" t="e">
        <v>#N/A</v>
      </c>
      <c r="DD97" s="41" t="e">
        <v>#N/A</v>
      </c>
      <c r="DE97" s="41" t="e">
        <v>#N/A</v>
      </c>
      <c r="DF97" s="133" t="e">
        <v>#N/A</v>
      </c>
      <c r="DG97" s="41" t="e">
        <v>#N/A</v>
      </c>
      <c r="DH97" s="41" t="e">
        <v>#N/A</v>
      </c>
      <c r="DI97" s="41" t="e">
        <v>#N/A</v>
      </c>
      <c r="DJ97" s="41" t="e">
        <v>#N/A</v>
      </c>
      <c r="DK97" s="41" t="e">
        <v>#N/A</v>
      </c>
      <c r="DL97" s="41" t="e">
        <v>#N/A</v>
      </c>
      <c r="DM97" s="39" t="e">
        <f t="shared" si="2"/>
        <v>#N/A</v>
      </c>
      <c r="DN97" s="41" t="e">
        <v>#N/A</v>
      </c>
    </row>
    <row r="98" spans="1:118" ht="15.75" customHeight="1" x14ac:dyDescent="0.25">
      <c r="A98" s="37">
        <v>93</v>
      </c>
      <c r="C98" s="140">
        <v>1047</v>
      </c>
      <c r="D98" s="133" t="e">
        <v>#N/A</v>
      </c>
      <c r="E98" s="41" t="e">
        <v>#N/A</v>
      </c>
      <c r="F98" s="133" t="e">
        <v>#N/A</v>
      </c>
      <c r="G98" s="133" t="e">
        <v>#N/A</v>
      </c>
      <c r="H98" s="133" t="e">
        <v>#N/A</v>
      </c>
      <c r="I98" s="41" t="e">
        <v>#N/A</v>
      </c>
      <c r="J98" s="133" t="e">
        <v>#N/A</v>
      </c>
      <c r="K98" s="133" t="e">
        <v>#N/A</v>
      </c>
      <c r="L98" s="133" t="e">
        <v>#N/A</v>
      </c>
      <c r="M98" s="133" t="e">
        <v>#N/A</v>
      </c>
      <c r="N98" s="133" t="e">
        <v>#N/A</v>
      </c>
      <c r="O98" s="133" t="e">
        <v>#N/A</v>
      </c>
      <c r="P98" s="133" t="e">
        <v>#N/A</v>
      </c>
      <c r="Q98" s="133" t="e">
        <v>#N/A</v>
      </c>
      <c r="R98" s="41" t="e">
        <v>#N/A</v>
      </c>
      <c r="S98" s="41" t="e">
        <v>#N/A</v>
      </c>
      <c r="T98" s="41" t="e">
        <v>#N/A</v>
      </c>
      <c r="U98" s="41" t="e">
        <v>#N/A</v>
      </c>
      <c r="V98" s="41" t="e">
        <v>#N/A</v>
      </c>
      <c r="W98" s="41" t="e">
        <v>#N/A</v>
      </c>
      <c r="X98" s="41" t="e">
        <v>#N/A</v>
      </c>
      <c r="Y98" s="41" t="e">
        <v>#N/A</v>
      </c>
      <c r="Z98" s="41" t="e">
        <v>#N/A</v>
      </c>
      <c r="AA98" s="41" t="e">
        <v>#N/A</v>
      </c>
      <c r="AB98" s="133" t="e">
        <v>#N/A</v>
      </c>
      <c r="AC98" s="133" t="e">
        <v>#N/A</v>
      </c>
      <c r="AD98" s="133" t="e">
        <v>#N/A</v>
      </c>
      <c r="AE98" s="133" t="e">
        <v>#N/A</v>
      </c>
      <c r="AF98" s="133" t="e">
        <v>#N/A</v>
      </c>
      <c r="AG98" s="133" t="e">
        <v>#N/A</v>
      </c>
      <c r="AH98" s="41" t="e">
        <v>#N/A</v>
      </c>
      <c r="AI98" s="41" t="e">
        <v>#N/A</v>
      </c>
      <c r="AJ98" s="41" t="e">
        <v>#N/A</v>
      </c>
      <c r="AK98" s="41" t="e">
        <v>#N/A</v>
      </c>
      <c r="AL98" s="41" t="e">
        <v>#N/A</v>
      </c>
      <c r="AM98" s="41" t="e">
        <v>#N/A</v>
      </c>
      <c r="AN98" s="41" t="e">
        <v>#N/A</v>
      </c>
      <c r="AO98" s="41" t="e">
        <v>#N/A</v>
      </c>
      <c r="AP98" s="41" t="e">
        <v>#N/A</v>
      </c>
      <c r="AQ98" s="41" t="e">
        <v>#N/A</v>
      </c>
      <c r="AR98" s="41" t="e">
        <v>#N/A</v>
      </c>
      <c r="AS98" s="41" t="e">
        <v>#N/A</v>
      </c>
      <c r="AT98" s="41" t="e">
        <v>#N/A</v>
      </c>
      <c r="AU98" s="41" t="e">
        <v>#N/A</v>
      </c>
      <c r="AV98" s="41" t="e">
        <v>#N/A</v>
      </c>
      <c r="AW98" s="41" t="e">
        <v>#N/A</v>
      </c>
      <c r="AX98" s="41" t="e">
        <v>#N/A</v>
      </c>
      <c r="AY98" s="41" t="e">
        <v>#N/A</v>
      </c>
      <c r="AZ98" s="41" t="e">
        <v>#N/A</v>
      </c>
      <c r="BA98" s="41" t="e">
        <v>#N/A</v>
      </c>
      <c r="BB98" s="41" t="e">
        <v>#N/A</v>
      </c>
      <c r="BC98" s="41" t="e">
        <v>#N/A</v>
      </c>
      <c r="BD98" s="41" t="e">
        <v>#N/A</v>
      </c>
      <c r="BE98" s="41" t="e">
        <v>#N/A</v>
      </c>
      <c r="BF98" s="41" t="e">
        <v>#N/A</v>
      </c>
      <c r="BG98" s="41" t="e">
        <v>#N/A</v>
      </c>
      <c r="BH98" s="41" t="e">
        <v>#N/A</v>
      </c>
      <c r="BI98" s="41" t="e">
        <v>#N/A</v>
      </c>
      <c r="BJ98" s="41" t="e">
        <v>#N/A</v>
      </c>
      <c r="BK98" s="41" t="e">
        <v>#N/A</v>
      </c>
      <c r="BL98" s="41" t="e">
        <v>#N/A</v>
      </c>
      <c r="BM98" s="41" t="e">
        <v>#N/A</v>
      </c>
      <c r="BN98" s="41" t="e">
        <v>#N/A</v>
      </c>
      <c r="BO98" s="41" t="e">
        <v>#N/A</v>
      </c>
      <c r="BP98" s="41" t="e">
        <v>#N/A</v>
      </c>
      <c r="BQ98" s="41" t="e">
        <v>#N/A</v>
      </c>
      <c r="BR98" s="41" t="e">
        <v>#N/A</v>
      </c>
      <c r="BS98" s="41" t="e">
        <v>#N/A</v>
      </c>
      <c r="BT98" s="41" t="e">
        <v>#N/A</v>
      </c>
      <c r="BU98" s="41" t="e">
        <v>#N/A</v>
      </c>
      <c r="BV98" s="41" t="e">
        <v>#N/A</v>
      </c>
      <c r="BW98" s="41" t="e">
        <v>#N/A</v>
      </c>
      <c r="BX98" s="41" t="e">
        <v>#N/A</v>
      </c>
      <c r="BY98" s="41" t="e">
        <v>#N/A</v>
      </c>
      <c r="BZ98" s="41" t="e">
        <v>#N/A</v>
      </c>
      <c r="CA98" s="41" t="e">
        <v>#N/A</v>
      </c>
      <c r="CB98" s="41" t="e">
        <v>#N/A</v>
      </c>
      <c r="CC98" s="41" t="e">
        <v>#N/A</v>
      </c>
      <c r="CD98" s="41" t="e">
        <v>#N/A</v>
      </c>
      <c r="CE98" s="41" t="e">
        <v>#N/A</v>
      </c>
      <c r="CF98" s="41" t="e">
        <v>#N/A</v>
      </c>
      <c r="CG98" s="41" t="e">
        <v>#N/A</v>
      </c>
      <c r="CH98" s="41" t="e">
        <v>#N/A</v>
      </c>
      <c r="CI98" s="41" t="e">
        <v>#N/A</v>
      </c>
      <c r="CJ98" s="41" t="e">
        <v>#N/A</v>
      </c>
      <c r="CK98" s="41" t="e">
        <v>#N/A</v>
      </c>
      <c r="CL98" s="41" t="e">
        <v>#N/A</v>
      </c>
      <c r="CM98" s="41" t="e">
        <v>#N/A</v>
      </c>
      <c r="CN98" s="41" t="e">
        <v>#N/A</v>
      </c>
      <c r="CO98" s="58" t="e">
        <v>#N/A</v>
      </c>
      <c r="CP98" s="41" t="e">
        <v>#N/A</v>
      </c>
      <c r="CQ98" s="41" t="e">
        <v>#N/A</v>
      </c>
      <c r="CR98" s="41" t="e">
        <v>#N/A</v>
      </c>
      <c r="CS98" s="41" t="e">
        <v>#N/A</v>
      </c>
      <c r="CT98" s="41" t="e">
        <v>#N/A</v>
      </c>
      <c r="CU98" s="41" t="e">
        <v>#N/A</v>
      </c>
      <c r="CV98" s="41" t="e">
        <v>#N/A</v>
      </c>
      <c r="CW98" s="41" t="e">
        <v>#N/A</v>
      </c>
      <c r="CX98" s="41" t="e">
        <v>#N/A</v>
      </c>
      <c r="CY98" s="41" t="e">
        <v>#N/A</v>
      </c>
      <c r="CZ98" s="41" t="e">
        <v>#N/A</v>
      </c>
      <c r="DA98" s="41" t="e">
        <v>#N/A</v>
      </c>
      <c r="DB98" s="41" t="e">
        <v>#N/A</v>
      </c>
      <c r="DC98" s="41" t="e">
        <v>#N/A</v>
      </c>
      <c r="DD98" s="41" t="e">
        <v>#N/A</v>
      </c>
      <c r="DE98" s="41" t="e">
        <v>#N/A</v>
      </c>
      <c r="DF98" s="133" t="e">
        <v>#N/A</v>
      </c>
      <c r="DG98" s="41" t="e">
        <v>#N/A</v>
      </c>
      <c r="DH98" s="41" t="e">
        <v>#N/A</v>
      </c>
      <c r="DI98" s="41" t="e">
        <v>#N/A</v>
      </c>
      <c r="DJ98" s="41" t="e">
        <v>#N/A</v>
      </c>
      <c r="DK98" s="41" t="e">
        <v>#N/A</v>
      </c>
      <c r="DL98" s="41" t="e">
        <v>#N/A</v>
      </c>
      <c r="DM98" s="39" t="e">
        <f t="shared" si="2"/>
        <v>#N/A</v>
      </c>
      <c r="DN98" s="41" t="e">
        <v>#N/A</v>
      </c>
    </row>
    <row r="99" spans="1:118" ht="15.75" customHeight="1" x14ac:dyDescent="0.25">
      <c r="A99" s="37">
        <v>94</v>
      </c>
      <c r="C99" s="140">
        <v>3926</v>
      </c>
      <c r="D99" s="133" t="e">
        <v>#N/A</v>
      </c>
      <c r="E99" s="41" t="e">
        <v>#N/A</v>
      </c>
      <c r="F99" s="133" t="e">
        <v>#N/A</v>
      </c>
      <c r="G99" s="133" t="e">
        <v>#N/A</v>
      </c>
      <c r="H99" s="133" t="e">
        <v>#N/A</v>
      </c>
      <c r="I99" s="41" t="e">
        <v>#N/A</v>
      </c>
      <c r="J99" s="133" t="e">
        <v>#N/A</v>
      </c>
      <c r="K99" s="133" t="e">
        <v>#N/A</v>
      </c>
      <c r="L99" s="133" t="e">
        <v>#N/A</v>
      </c>
      <c r="M99" s="133" t="e">
        <v>#N/A</v>
      </c>
      <c r="N99" s="133" t="e">
        <v>#N/A</v>
      </c>
      <c r="O99" s="133" t="e">
        <v>#N/A</v>
      </c>
      <c r="P99" s="133" t="e">
        <v>#N/A</v>
      </c>
      <c r="Q99" s="133" t="e">
        <v>#N/A</v>
      </c>
      <c r="R99" s="41" t="e">
        <v>#N/A</v>
      </c>
      <c r="S99" s="41" t="e">
        <v>#N/A</v>
      </c>
      <c r="T99" s="41" t="e">
        <v>#N/A</v>
      </c>
      <c r="U99" s="41" t="e">
        <v>#N/A</v>
      </c>
      <c r="V99" s="41" t="e">
        <v>#N/A</v>
      </c>
      <c r="W99" s="41" t="e">
        <v>#N/A</v>
      </c>
      <c r="X99" s="41" t="e">
        <v>#N/A</v>
      </c>
      <c r="Y99" s="41" t="e">
        <v>#N/A</v>
      </c>
      <c r="Z99" s="41" t="e">
        <v>#N/A</v>
      </c>
      <c r="AA99" s="41" t="e">
        <v>#N/A</v>
      </c>
      <c r="AB99" s="133" t="e">
        <v>#N/A</v>
      </c>
      <c r="AC99" s="133" t="e">
        <v>#N/A</v>
      </c>
      <c r="AD99" s="133" t="e">
        <v>#N/A</v>
      </c>
      <c r="AE99" s="133" t="e">
        <v>#N/A</v>
      </c>
      <c r="AF99" s="133" t="e">
        <v>#N/A</v>
      </c>
      <c r="AG99" s="133" t="e">
        <v>#N/A</v>
      </c>
      <c r="AH99" s="41" t="e">
        <v>#N/A</v>
      </c>
      <c r="AI99" s="41" t="e">
        <v>#N/A</v>
      </c>
      <c r="AJ99" s="41" t="e">
        <v>#N/A</v>
      </c>
      <c r="AK99" s="41" t="e">
        <v>#N/A</v>
      </c>
      <c r="AL99" s="41" t="e">
        <v>#N/A</v>
      </c>
      <c r="AM99" s="41" t="e">
        <v>#N/A</v>
      </c>
      <c r="AN99" s="41" t="e">
        <v>#N/A</v>
      </c>
      <c r="AO99" s="41" t="e">
        <v>#N/A</v>
      </c>
      <c r="AP99" s="41" t="e">
        <v>#N/A</v>
      </c>
      <c r="AQ99" s="41" t="e">
        <v>#N/A</v>
      </c>
      <c r="AR99" s="41" t="e">
        <v>#N/A</v>
      </c>
      <c r="AS99" s="41" t="e">
        <v>#N/A</v>
      </c>
      <c r="AT99" s="41" t="e">
        <v>#N/A</v>
      </c>
      <c r="AU99" s="41" t="e">
        <v>#N/A</v>
      </c>
      <c r="AV99" s="41" t="e">
        <v>#N/A</v>
      </c>
      <c r="AW99" s="41" t="e">
        <v>#N/A</v>
      </c>
      <c r="AX99" s="41" t="e">
        <v>#N/A</v>
      </c>
      <c r="AY99" s="41" t="e">
        <v>#N/A</v>
      </c>
      <c r="AZ99" s="41" t="e">
        <v>#N/A</v>
      </c>
      <c r="BA99" s="41" t="e">
        <v>#N/A</v>
      </c>
      <c r="BB99" s="41" t="e">
        <v>#N/A</v>
      </c>
      <c r="BC99" s="41" t="e">
        <v>#N/A</v>
      </c>
      <c r="BD99" s="41" t="e">
        <v>#N/A</v>
      </c>
      <c r="BE99" s="41" t="e">
        <v>#N/A</v>
      </c>
      <c r="BF99" s="41" t="e">
        <v>#N/A</v>
      </c>
      <c r="BG99" s="41" t="e">
        <v>#N/A</v>
      </c>
      <c r="BH99" s="41" t="e">
        <v>#N/A</v>
      </c>
      <c r="BI99" s="41" t="e">
        <v>#N/A</v>
      </c>
      <c r="BJ99" s="41" t="e">
        <v>#N/A</v>
      </c>
      <c r="BK99" s="41" t="e">
        <v>#N/A</v>
      </c>
      <c r="BL99" s="41" t="e">
        <v>#N/A</v>
      </c>
      <c r="BM99" s="41" t="e">
        <v>#N/A</v>
      </c>
      <c r="BN99" s="41" t="e">
        <v>#N/A</v>
      </c>
      <c r="BO99" s="41" t="e">
        <v>#N/A</v>
      </c>
      <c r="BP99" s="41" t="e">
        <v>#N/A</v>
      </c>
      <c r="BQ99" s="41" t="e">
        <v>#N/A</v>
      </c>
      <c r="BR99" s="41" t="e">
        <v>#N/A</v>
      </c>
      <c r="BS99" s="41" t="e">
        <v>#N/A</v>
      </c>
      <c r="BT99" s="41" t="e">
        <v>#N/A</v>
      </c>
      <c r="BU99" s="41" t="e">
        <v>#N/A</v>
      </c>
      <c r="BV99" s="41" t="e">
        <v>#N/A</v>
      </c>
      <c r="BW99" s="41" t="e">
        <v>#N/A</v>
      </c>
      <c r="BX99" s="41" t="e">
        <v>#N/A</v>
      </c>
      <c r="BY99" s="41" t="e">
        <v>#N/A</v>
      </c>
      <c r="BZ99" s="41" t="e">
        <v>#N/A</v>
      </c>
      <c r="CA99" s="41" t="e">
        <v>#N/A</v>
      </c>
      <c r="CB99" s="41" t="e">
        <v>#N/A</v>
      </c>
      <c r="CC99" s="41" t="e">
        <v>#N/A</v>
      </c>
      <c r="CD99" s="41" t="e">
        <v>#N/A</v>
      </c>
      <c r="CE99" s="41" t="e">
        <v>#N/A</v>
      </c>
      <c r="CF99" s="41" t="e">
        <v>#N/A</v>
      </c>
      <c r="CG99" s="41" t="e">
        <v>#N/A</v>
      </c>
      <c r="CH99" s="41" t="e">
        <v>#N/A</v>
      </c>
      <c r="CI99" s="41" t="e">
        <v>#N/A</v>
      </c>
      <c r="CJ99" s="41" t="e">
        <v>#N/A</v>
      </c>
      <c r="CK99" s="41" t="e">
        <v>#N/A</v>
      </c>
      <c r="CL99" s="41" t="e">
        <v>#N/A</v>
      </c>
      <c r="CM99" s="41" t="e">
        <v>#N/A</v>
      </c>
      <c r="CN99" s="41" t="e">
        <v>#N/A</v>
      </c>
      <c r="CO99" s="58" t="e">
        <v>#N/A</v>
      </c>
      <c r="CP99" s="41" t="e">
        <v>#N/A</v>
      </c>
      <c r="CQ99" s="41" t="e">
        <v>#N/A</v>
      </c>
      <c r="CR99" s="41" t="e">
        <v>#N/A</v>
      </c>
      <c r="CS99" s="41" t="e">
        <v>#N/A</v>
      </c>
      <c r="CT99" s="41" t="e">
        <v>#N/A</v>
      </c>
      <c r="CU99" s="41" t="e">
        <v>#N/A</v>
      </c>
      <c r="CV99" s="41" t="e">
        <v>#N/A</v>
      </c>
      <c r="CW99" s="41" t="e">
        <v>#N/A</v>
      </c>
      <c r="CX99" s="41" t="e">
        <v>#N/A</v>
      </c>
      <c r="CY99" s="41" t="e">
        <v>#N/A</v>
      </c>
      <c r="CZ99" s="41" t="e">
        <v>#N/A</v>
      </c>
      <c r="DA99" s="41" t="e">
        <v>#N/A</v>
      </c>
      <c r="DB99" s="41" t="e">
        <v>#N/A</v>
      </c>
      <c r="DC99" s="41" t="e">
        <v>#N/A</v>
      </c>
      <c r="DD99" s="41" t="e">
        <v>#N/A</v>
      </c>
      <c r="DE99" s="41" t="e">
        <v>#N/A</v>
      </c>
      <c r="DF99" s="133" t="e">
        <v>#N/A</v>
      </c>
      <c r="DG99" s="41" t="e">
        <v>#N/A</v>
      </c>
      <c r="DH99" s="41" t="e">
        <v>#N/A</v>
      </c>
      <c r="DI99" s="41" t="e">
        <v>#N/A</v>
      </c>
      <c r="DJ99" s="41" t="e">
        <v>#N/A</v>
      </c>
      <c r="DK99" s="41" t="e">
        <v>#N/A</v>
      </c>
      <c r="DL99" s="41" t="e">
        <v>#N/A</v>
      </c>
      <c r="DM99" s="39" t="e">
        <f t="shared" si="2"/>
        <v>#N/A</v>
      </c>
      <c r="DN99" s="41" t="e">
        <v>#N/A</v>
      </c>
    </row>
    <row r="100" spans="1:118" ht="15.75" customHeight="1" x14ac:dyDescent="0.25">
      <c r="A100" s="37">
        <v>95</v>
      </c>
      <c r="C100" s="140">
        <v>6116</v>
      </c>
      <c r="D100" s="133" t="e">
        <v>#N/A</v>
      </c>
      <c r="E100" s="41" t="e">
        <v>#N/A</v>
      </c>
      <c r="F100" s="133" t="e">
        <v>#N/A</v>
      </c>
      <c r="G100" s="133" t="e">
        <v>#N/A</v>
      </c>
      <c r="H100" s="133" t="e">
        <v>#N/A</v>
      </c>
      <c r="I100" s="41" t="e">
        <v>#N/A</v>
      </c>
      <c r="J100" s="133" t="e">
        <v>#N/A</v>
      </c>
      <c r="K100" s="133" t="e">
        <v>#N/A</v>
      </c>
      <c r="L100" s="133" t="e">
        <v>#N/A</v>
      </c>
      <c r="M100" s="133" t="e">
        <v>#N/A</v>
      </c>
      <c r="N100" s="133" t="e">
        <v>#N/A</v>
      </c>
      <c r="O100" s="133" t="e">
        <v>#N/A</v>
      </c>
      <c r="P100" s="133" t="e">
        <v>#N/A</v>
      </c>
      <c r="Q100" s="133" t="e">
        <v>#N/A</v>
      </c>
      <c r="R100" s="41" t="e">
        <v>#N/A</v>
      </c>
      <c r="S100" s="41" t="e">
        <v>#N/A</v>
      </c>
      <c r="T100" s="41" t="e">
        <v>#N/A</v>
      </c>
      <c r="U100" s="41" t="e">
        <v>#N/A</v>
      </c>
      <c r="V100" s="41" t="e">
        <v>#N/A</v>
      </c>
      <c r="W100" s="41" t="e">
        <v>#N/A</v>
      </c>
      <c r="X100" s="41" t="e">
        <v>#N/A</v>
      </c>
      <c r="Y100" s="41" t="e">
        <v>#N/A</v>
      </c>
      <c r="Z100" s="41" t="e">
        <v>#N/A</v>
      </c>
      <c r="AA100" s="41" t="e">
        <v>#N/A</v>
      </c>
      <c r="AB100" s="133" t="e">
        <v>#N/A</v>
      </c>
      <c r="AC100" s="133" t="e">
        <v>#N/A</v>
      </c>
      <c r="AD100" s="133" t="e">
        <v>#N/A</v>
      </c>
      <c r="AE100" s="133" t="e">
        <v>#N/A</v>
      </c>
      <c r="AF100" s="133" t="e">
        <v>#N/A</v>
      </c>
      <c r="AG100" s="133" t="e">
        <v>#N/A</v>
      </c>
      <c r="AH100" s="41" t="e">
        <v>#N/A</v>
      </c>
      <c r="AI100" s="41" t="e">
        <v>#N/A</v>
      </c>
      <c r="AJ100" s="41" t="e">
        <v>#N/A</v>
      </c>
      <c r="AK100" s="41" t="e">
        <v>#N/A</v>
      </c>
      <c r="AL100" s="41" t="e">
        <v>#N/A</v>
      </c>
      <c r="AM100" s="41" t="e">
        <v>#N/A</v>
      </c>
      <c r="AN100" s="41" t="e">
        <v>#N/A</v>
      </c>
      <c r="AO100" s="41" t="e">
        <v>#N/A</v>
      </c>
      <c r="AP100" s="41" t="e">
        <v>#N/A</v>
      </c>
      <c r="AQ100" s="41" t="e">
        <v>#N/A</v>
      </c>
      <c r="AR100" s="41" t="e">
        <v>#N/A</v>
      </c>
      <c r="AS100" s="41" t="e">
        <v>#N/A</v>
      </c>
      <c r="AT100" s="41" t="e">
        <v>#N/A</v>
      </c>
      <c r="AU100" s="41" t="e">
        <v>#N/A</v>
      </c>
      <c r="AV100" s="41" t="e">
        <v>#N/A</v>
      </c>
      <c r="AW100" s="41" t="e">
        <v>#N/A</v>
      </c>
      <c r="AX100" s="41" t="e">
        <v>#N/A</v>
      </c>
      <c r="AY100" s="41" t="e">
        <v>#N/A</v>
      </c>
      <c r="AZ100" s="41" t="e">
        <v>#N/A</v>
      </c>
      <c r="BA100" s="41" t="e">
        <v>#N/A</v>
      </c>
      <c r="BB100" s="41" t="e">
        <v>#N/A</v>
      </c>
      <c r="BC100" s="41" t="e">
        <v>#N/A</v>
      </c>
      <c r="BD100" s="41" t="e">
        <v>#N/A</v>
      </c>
      <c r="BE100" s="41" t="e">
        <v>#N/A</v>
      </c>
      <c r="BF100" s="41" t="e">
        <v>#N/A</v>
      </c>
      <c r="BG100" s="41" t="e">
        <v>#N/A</v>
      </c>
      <c r="BH100" s="41" t="e">
        <v>#N/A</v>
      </c>
      <c r="BI100" s="41" t="e">
        <v>#N/A</v>
      </c>
      <c r="BJ100" s="41" t="e">
        <v>#N/A</v>
      </c>
      <c r="BK100" s="41" t="e">
        <v>#N/A</v>
      </c>
      <c r="BL100" s="41" t="e">
        <v>#N/A</v>
      </c>
      <c r="BM100" s="41" t="e">
        <v>#N/A</v>
      </c>
      <c r="BN100" s="41" t="e">
        <v>#N/A</v>
      </c>
      <c r="BO100" s="41" t="e">
        <v>#N/A</v>
      </c>
      <c r="BP100" s="41" t="e">
        <v>#N/A</v>
      </c>
      <c r="BQ100" s="41" t="e">
        <v>#N/A</v>
      </c>
      <c r="BR100" s="41" t="e">
        <v>#N/A</v>
      </c>
      <c r="BS100" s="41" t="e">
        <v>#N/A</v>
      </c>
      <c r="BT100" s="41" t="e">
        <v>#N/A</v>
      </c>
      <c r="BU100" s="41" t="e">
        <v>#N/A</v>
      </c>
      <c r="BV100" s="41" t="e">
        <v>#N/A</v>
      </c>
      <c r="BW100" s="41" t="e">
        <v>#N/A</v>
      </c>
      <c r="BX100" s="41" t="e">
        <v>#N/A</v>
      </c>
      <c r="BY100" s="41" t="e">
        <v>#N/A</v>
      </c>
      <c r="BZ100" s="41" t="e">
        <v>#N/A</v>
      </c>
      <c r="CA100" s="41" t="e">
        <v>#N/A</v>
      </c>
      <c r="CB100" s="41" t="e">
        <v>#N/A</v>
      </c>
      <c r="CC100" s="41" t="e">
        <v>#N/A</v>
      </c>
      <c r="CD100" s="41" t="e">
        <v>#N/A</v>
      </c>
      <c r="CE100" s="41" t="e">
        <v>#N/A</v>
      </c>
      <c r="CF100" s="41" t="e">
        <v>#N/A</v>
      </c>
      <c r="CG100" s="41" t="e">
        <v>#N/A</v>
      </c>
      <c r="CH100" s="41" t="e">
        <v>#N/A</v>
      </c>
      <c r="CI100" s="41" t="e">
        <v>#N/A</v>
      </c>
      <c r="CJ100" s="41" t="e">
        <v>#N/A</v>
      </c>
      <c r="CK100" s="41" t="e">
        <v>#N/A</v>
      </c>
      <c r="CL100" s="41" t="e">
        <v>#N/A</v>
      </c>
      <c r="CM100" s="41" t="e">
        <v>#N/A</v>
      </c>
      <c r="CN100" s="41" t="e">
        <v>#N/A</v>
      </c>
      <c r="CO100" s="58" t="e">
        <v>#N/A</v>
      </c>
      <c r="CP100" s="41" t="e">
        <v>#N/A</v>
      </c>
      <c r="CQ100" s="41" t="e">
        <v>#N/A</v>
      </c>
      <c r="CR100" s="41" t="e">
        <v>#N/A</v>
      </c>
      <c r="CS100" s="41" t="e">
        <v>#N/A</v>
      </c>
      <c r="CT100" s="41" t="e">
        <v>#N/A</v>
      </c>
      <c r="CU100" s="41" t="e">
        <v>#N/A</v>
      </c>
      <c r="CV100" s="41" t="e">
        <v>#N/A</v>
      </c>
      <c r="CW100" s="41" t="e">
        <v>#N/A</v>
      </c>
      <c r="CX100" s="41" t="e">
        <v>#N/A</v>
      </c>
      <c r="CY100" s="41" t="e">
        <v>#N/A</v>
      </c>
      <c r="CZ100" s="41" t="e">
        <v>#N/A</v>
      </c>
      <c r="DA100" s="41" t="e">
        <v>#N/A</v>
      </c>
      <c r="DB100" s="41" t="e">
        <v>#N/A</v>
      </c>
      <c r="DC100" s="41" t="e">
        <v>#N/A</v>
      </c>
      <c r="DD100" s="41" t="e">
        <v>#N/A</v>
      </c>
      <c r="DE100" s="41" t="e">
        <v>#N/A</v>
      </c>
      <c r="DF100" s="133" t="e">
        <v>#N/A</v>
      </c>
      <c r="DG100" s="41" t="e">
        <v>#N/A</v>
      </c>
      <c r="DH100" s="41" t="e">
        <v>#N/A</v>
      </c>
      <c r="DI100" s="41" t="e">
        <v>#N/A</v>
      </c>
      <c r="DJ100" s="41" t="e">
        <v>#N/A</v>
      </c>
      <c r="DK100" s="41" t="e">
        <v>#N/A</v>
      </c>
      <c r="DL100" s="41" t="e">
        <v>#N/A</v>
      </c>
      <c r="DM100" s="39" t="e">
        <f t="shared" si="2"/>
        <v>#N/A</v>
      </c>
      <c r="DN100" s="41" t="e">
        <v>#N/A</v>
      </c>
    </row>
    <row r="101" spans="1:118" ht="15.75" customHeight="1" x14ac:dyDescent="0.25">
      <c r="A101" s="37">
        <v>96</v>
      </c>
      <c r="C101" s="140">
        <v>9579</v>
      </c>
      <c r="D101" s="133" t="e">
        <v>#N/A</v>
      </c>
      <c r="E101" s="41" t="e">
        <v>#N/A</v>
      </c>
      <c r="F101" s="133" t="e">
        <v>#N/A</v>
      </c>
      <c r="G101" s="133" t="e">
        <v>#N/A</v>
      </c>
      <c r="H101" s="133" t="e">
        <v>#N/A</v>
      </c>
      <c r="I101" s="41" t="e">
        <v>#N/A</v>
      </c>
      <c r="J101" s="133" t="e">
        <v>#N/A</v>
      </c>
      <c r="K101" s="133" t="e">
        <v>#N/A</v>
      </c>
      <c r="L101" s="133" t="e">
        <v>#N/A</v>
      </c>
      <c r="M101" s="133" t="e">
        <v>#N/A</v>
      </c>
      <c r="N101" s="133" t="e">
        <v>#N/A</v>
      </c>
      <c r="O101" s="133" t="e">
        <v>#N/A</v>
      </c>
      <c r="P101" s="133" t="e">
        <v>#N/A</v>
      </c>
      <c r="Q101" s="133" t="e">
        <v>#N/A</v>
      </c>
      <c r="R101" s="41" t="e">
        <v>#N/A</v>
      </c>
      <c r="S101" s="41" t="e">
        <v>#N/A</v>
      </c>
      <c r="T101" s="41" t="e">
        <v>#N/A</v>
      </c>
      <c r="U101" s="41" t="e">
        <v>#N/A</v>
      </c>
      <c r="V101" s="41" t="e">
        <v>#N/A</v>
      </c>
      <c r="W101" s="41" t="e">
        <v>#N/A</v>
      </c>
      <c r="X101" s="41" t="e">
        <v>#N/A</v>
      </c>
      <c r="Y101" s="41" t="e">
        <v>#N/A</v>
      </c>
      <c r="Z101" s="41" t="e">
        <v>#N/A</v>
      </c>
      <c r="AA101" s="41" t="e">
        <v>#N/A</v>
      </c>
      <c r="AB101" s="133" t="e">
        <v>#N/A</v>
      </c>
      <c r="AC101" s="133" t="e">
        <v>#N/A</v>
      </c>
      <c r="AD101" s="133" t="e">
        <v>#N/A</v>
      </c>
      <c r="AE101" s="133" t="e">
        <v>#N/A</v>
      </c>
      <c r="AF101" s="133" t="e">
        <v>#N/A</v>
      </c>
      <c r="AG101" s="133" t="e">
        <v>#N/A</v>
      </c>
      <c r="AH101" s="41" t="e">
        <v>#N/A</v>
      </c>
      <c r="AI101" s="41" t="e">
        <v>#N/A</v>
      </c>
      <c r="AJ101" s="41" t="e">
        <v>#N/A</v>
      </c>
      <c r="AK101" s="41" t="e">
        <v>#N/A</v>
      </c>
      <c r="AL101" s="41" t="e">
        <v>#N/A</v>
      </c>
      <c r="AM101" s="41" t="e">
        <v>#N/A</v>
      </c>
      <c r="AN101" s="41" t="e">
        <v>#N/A</v>
      </c>
      <c r="AO101" s="41" t="e">
        <v>#N/A</v>
      </c>
      <c r="AP101" s="41" t="e">
        <v>#N/A</v>
      </c>
      <c r="AQ101" s="41" t="e">
        <v>#N/A</v>
      </c>
      <c r="AR101" s="41" t="e">
        <v>#N/A</v>
      </c>
      <c r="AS101" s="41" t="e">
        <v>#N/A</v>
      </c>
      <c r="AT101" s="41" t="e">
        <v>#N/A</v>
      </c>
      <c r="AU101" s="41" t="e">
        <v>#N/A</v>
      </c>
      <c r="AV101" s="41" t="e">
        <v>#N/A</v>
      </c>
      <c r="AW101" s="41" t="e">
        <v>#N/A</v>
      </c>
      <c r="AX101" s="41" t="e">
        <v>#N/A</v>
      </c>
      <c r="AY101" s="41" t="e">
        <v>#N/A</v>
      </c>
      <c r="AZ101" s="41" t="e">
        <v>#N/A</v>
      </c>
      <c r="BA101" s="41" t="e">
        <v>#N/A</v>
      </c>
      <c r="BB101" s="41" t="e">
        <v>#N/A</v>
      </c>
      <c r="BC101" s="41" t="e">
        <v>#N/A</v>
      </c>
      <c r="BD101" s="41" t="e">
        <v>#N/A</v>
      </c>
      <c r="BE101" s="41" t="e">
        <v>#N/A</v>
      </c>
      <c r="BF101" s="41" t="e">
        <v>#N/A</v>
      </c>
      <c r="BG101" s="41" t="e">
        <v>#N/A</v>
      </c>
      <c r="BH101" s="41" t="e">
        <v>#N/A</v>
      </c>
      <c r="BI101" s="41" t="e">
        <v>#N/A</v>
      </c>
      <c r="BJ101" s="41" t="e">
        <v>#N/A</v>
      </c>
      <c r="BK101" s="41" t="e">
        <v>#N/A</v>
      </c>
      <c r="BL101" s="41" t="e">
        <v>#N/A</v>
      </c>
      <c r="BM101" s="41" t="e">
        <v>#N/A</v>
      </c>
      <c r="BN101" s="41" t="e">
        <v>#N/A</v>
      </c>
      <c r="BO101" s="41" t="e">
        <v>#N/A</v>
      </c>
      <c r="BP101" s="41" t="e">
        <v>#N/A</v>
      </c>
      <c r="BQ101" s="41" t="e">
        <v>#N/A</v>
      </c>
      <c r="BR101" s="41" t="e">
        <v>#N/A</v>
      </c>
      <c r="BS101" s="41" t="e">
        <v>#N/A</v>
      </c>
      <c r="BT101" s="41" t="e">
        <v>#N/A</v>
      </c>
      <c r="BU101" s="41" t="e">
        <v>#N/A</v>
      </c>
      <c r="BV101" s="41" t="e">
        <v>#N/A</v>
      </c>
      <c r="BW101" s="41" t="e">
        <v>#N/A</v>
      </c>
      <c r="BX101" s="41" t="e">
        <v>#N/A</v>
      </c>
      <c r="BY101" s="41" t="e">
        <v>#N/A</v>
      </c>
      <c r="BZ101" s="41" t="e">
        <v>#N/A</v>
      </c>
      <c r="CA101" s="41" t="e">
        <v>#N/A</v>
      </c>
      <c r="CB101" s="41" t="e">
        <v>#N/A</v>
      </c>
      <c r="CC101" s="41" t="e">
        <v>#N/A</v>
      </c>
      <c r="CD101" s="41" t="e">
        <v>#N/A</v>
      </c>
      <c r="CE101" s="41" t="e">
        <v>#N/A</v>
      </c>
      <c r="CF101" s="41" t="e">
        <v>#N/A</v>
      </c>
      <c r="CG101" s="41" t="e">
        <v>#N/A</v>
      </c>
      <c r="CH101" s="41" t="e">
        <v>#N/A</v>
      </c>
      <c r="CI101" s="41" t="e">
        <v>#N/A</v>
      </c>
      <c r="CJ101" s="41" t="e">
        <v>#N/A</v>
      </c>
      <c r="CK101" s="41" t="e">
        <v>#N/A</v>
      </c>
      <c r="CL101" s="41" t="e">
        <v>#N/A</v>
      </c>
      <c r="CM101" s="41" t="e">
        <v>#N/A</v>
      </c>
      <c r="CN101" s="41" t="e">
        <v>#N/A</v>
      </c>
      <c r="CO101" s="58" t="e">
        <v>#N/A</v>
      </c>
      <c r="CP101" s="41" t="e">
        <v>#N/A</v>
      </c>
      <c r="CQ101" s="41" t="e">
        <v>#N/A</v>
      </c>
      <c r="CR101" s="41" t="e">
        <v>#N/A</v>
      </c>
      <c r="CS101" s="41" t="e">
        <v>#N/A</v>
      </c>
      <c r="CT101" s="41" t="e">
        <v>#N/A</v>
      </c>
      <c r="CU101" s="41" t="e">
        <v>#N/A</v>
      </c>
      <c r="CV101" s="41" t="e">
        <v>#N/A</v>
      </c>
      <c r="CW101" s="41" t="e">
        <v>#N/A</v>
      </c>
      <c r="CX101" s="41" t="e">
        <v>#N/A</v>
      </c>
      <c r="CY101" s="41" t="e">
        <v>#N/A</v>
      </c>
      <c r="CZ101" s="41" t="e">
        <v>#N/A</v>
      </c>
      <c r="DA101" s="41" t="e">
        <v>#N/A</v>
      </c>
      <c r="DB101" s="41" t="e">
        <v>#N/A</v>
      </c>
      <c r="DC101" s="41" t="e">
        <v>#N/A</v>
      </c>
      <c r="DD101" s="41" t="e">
        <v>#N/A</v>
      </c>
      <c r="DE101" s="41" t="e">
        <v>#N/A</v>
      </c>
      <c r="DF101" s="133" t="e">
        <v>#N/A</v>
      </c>
      <c r="DG101" s="41" t="e">
        <v>#N/A</v>
      </c>
      <c r="DH101" s="41" t="e">
        <v>#N/A</v>
      </c>
      <c r="DI101" s="41" t="e">
        <v>#N/A</v>
      </c>
      <c r="DJ101" s="41" t="e">
        <v>#N/A</v>
      </c>
      <c r="DK101" s="41" t="e">
        <v>#N/A</v>
      </c>
      <c r="DL101" s="41" t="e">
        <v>#N/A</v>
      </c>
      <c r="DM101" s="39" t="e">
        <f t="shared" si="2"/>
        <v>#N/A</v>
      </c>
      <c r="DN101" s="41" t="e">
        <v>#N/A</v>
      </c>
    </row>
    <row r="102" spans="1:118" ht="15.75" customHeight="1" x14ac:dyDescent="0.25">
      <c r="A102" s="37">
        <v>97</v>
      </c>
      <c r="C102" s="140">
        <v>7518</v>
      </c>
      <c r="D102" s="133" t="e">
        <v>#N/A</v>
      </c>
      <c r="E102" s="41" t="e">
        <v>#N/A</v>
      </c>
      <c r="F102" s="133" t="e">
        <v>#N/A</v>
      </c>
      <c r="G102" s="133" t="e">
        <v>#N/A</v>
      </c>
      <c r="H102" s="133" t="e">
        <v>#N/A</v>
      </c>
      <c r="I102" s="41" t="e">
        <v>#N/A</v>
      </c>
      <c r="J102" s="133" t="e">
        <v>#N/A</v>
      </c>
      <c r="K102" s="133" t="e">
        <v>#N/A</v>
      </c>
      <c r="L102" s="133" t="e">
        <v>#N/A</v>
      </c>
      <c r="M102" s="133" t="e">
        <v>#N/A</v>
      </c>
      <c r="N102" s="133" t="e">
        <v>#N/A</v>
      </c>
      <c r="O102" s="133" t="e">
        <v>#N/A</v>
      </c>
      <c r="P102" s="133" t="e">
        <v>#N/A</v>
      </c>
      <c r="Q102" s="133" t="e">
        <v>#N/A</v>
      </c>
      <c r="R102" s="41" t="e">
        <v>#N/A</v>
      </c>
      <c r="S102" s="41" t="e">
        <v>#N/A</v>
      </c>
      <c r="T102" s="41" t="e">
        <v>#N/A</v>
      </c>
      <c r="U102" s="41" t="e">
        <v>#N/A</v>
      </c>
      <c r="V102" s="41" t="e">
        <v>#N/A</v>
      </c>
      <c r="W102" s="41" t="e">
        <v>#N/A</v>
      </c>
      <c r="X102" s="41" t="e">
        <v>#N/A</v>
      </c>
      <c r="Y102" s="41" t="e">
        <v>#N/A</v>
      </c>
      <c r="Z102" s="41" t="e">
        <v>#N/A</v>
      </c>
      <c r="AA102" s="41" t="e">
        <v>#N/A</v>
      </c>
      <c r="AB102" s="133" t="e">
        <v>#N/A</v>
      </c>
      <c r="AC102" s="133" t="e">
        <v>#N/A</v>
      </c>
      <c r="AD102" s="133" t="e">
        <v>#N/A</v>
      </c>
      <c r="AE102" s="133" t="e">
        <v>#N/A</v>
      </c>
      <c r="AF102" s="133" t="e">
        <v>#N/A</v>
      </c>
      <c r="AG102" s="133" t="e">
        <v>#N/A</v>
      </c>
      <c r="AH102" s="41" t="e">
        <v>#N/A</v>
      </c>
      <c r="AI102" s="41" t="e">
        <v>#N/A</v>
      </c>
      <c r="AJ102" s="41" t="e">
        <v>#N/A</v>
      </c>
      <c r="AK102" s="41" t="e">
        <v>#N/A</v>
      </c>
      <c r="AL102" s="41" t="e">
        <v>#N/A</v>
      </c>
      <c r="AM102" s="41" t="e">
        <v>#N/A</v>
      </c>
      <c r="AN102" s="41" t="e">
        <v>#N/A</v>
      </c>
      <c r="AO102" s="41" t="e">
        <v>#N/A</v>
      </c>
      <c r="AP102" s="41" t="e">
        <v>#N/A</v>
      </c>
      <c r="AQ102" s="41" t="e">
        <v>#N/A</v>
      </c>
      <c r="AR102" s="41" t="e">
        <v>#N/A</v>
      </c>
      <c r="AS102" s="41" t="e">
        <v>#N/A</v>
      </c>
      <c r="AT102" s="41" t="e">
        <v>#N/A</v>
      </c>
      <c r="AU102" s="41" t="e">
        <v>#N/A</v>
      </c>
      <c r="AV102" s="41" t="e">
        <v>#N/A</v>
      </c>
      <c r="AW102" s="41" t="e">
        <v>#N/A</v>
      </c>
      <c r="AX102" s="41" t="e">
        <v>#N/A</v>
      </c>
      <c r="AY102" s="41" t="e">
        <v>#N/A</v>
      </c>
      <c r="AZ102" s="41" t="e">
        <v>#N/A</v>
      </c>
      <c r="BA102" s="41" t="e">
        <v>#N/A</v>
      </c>
      <c r="BB102" s="41" t="e">
        <v>#N/A</v>
      </c>
      <c r="BC102" s="41" t="e">
        <v>#N/A</v>
      </c>
      <c r="BD102" s="41" t="e">
        <v>#N/A</v>
      </c>
      <c r="BE102" s="41" t="e">
        <v>#N/A</v>
      </c>
      <c r="BF102" s="41" t="e">
        <v>#N/A</v>
      </c>
      <c r="BG102" s="41" t="e">
        <v>#N/A</v>
      </c>
      <c r="BH102" s="41" t="e">
        <v>#N/A</v>
      </c>
      <c r="BI102" s="41" t="e">
        <v>#N/A</v>
      </c>
      <c r="BJ102" s="41" t="e">
        <v>#N/A</v>
      </c>
      <c r="BK102" s="41" t="e">
        <v>#N/A</v>
      </c>
      <c r="BL102" s="41" t="e">
        <v>#N/A</v>
      </c>
      <c r="BM102" s="41" t="e">
        <v>#N/A</v>
      </c>
      <c r="BN102" s="41" t="e">
        <v>#N/A</v>
      </c>
      <c r="BO102" s="41" t="e">
        <v>#N/A</v>
      </c>
      <c r="BP102" s="41" t="e">
        <v>#N/A</v>
      </c>
      <c r="BQ102" s="41" t="e">
        <v>#N/A</v>
      </c>
      <c r="BR102" s="41" t="e">
        <v>#N/A</v>
      </c>
      <c r="BS102" s="41" t="e">
        <v>#N/A</v>
      </c>
      <c r="BT102" s="41" t="e">
        <v>#N/A</v>
      </c>
      <c r="BU102" s="41" t="e">
        <v>#N/A</v>
      </c>
      <c r="BV102" s="41" t="e">
        <v>#N/A</v>
      </c>
      <c r="BW102" s="41" t="e">
        <v>#N/A</v>
      </c>
      <c r="BX102" s="41" t="e">
        <v>#N/A</v>
      </c>
      <c r="BY102" s="41" t="e">
        <v>#N/A</v>
      </c>
      <c r="BZ102" s="41" t="e">
        <v>#N/A</v>
      </c>
      <c r="CA102" s="41" t="e">
        <v>#N/A</v>
      </c>
      <c r="CB102" s="41" t="e">
        <v>#N/A</v>
      </c>
      <c r="CC102" s="41" t="e">
        <v>#N/A</v>
      </c>
      <c r="CD102" s="41" t="e">
        <v>#N/A</v>
      </c>
      <c r="CE102" s="41" t="e">
        <v>#N/A</v>
      </c>
      <c r="CF102" s="41" t="e">
        <v>#N/A</v>
      </c>
      <c r="CG102" s="41" t="e">
        <v>#N/A</v>
      </c>
      <c r="CH102" s="41" t="e">
        <v>#N/A</v>
      </c>
      <c r="CI102" s="41" t="e">
        <v>#N/A</v>
      </c>
      <c r="CJ102" s="41" t="e">
        <v>#N/A</v>
      </c>
      <c r="CK102" s="41" t="e">
        <v>#N/A</v>
      </c>
      <c r="CL102" s="41" t="e">
        <v>#N/A</v>
      </c>
      <c r="CM102" s="41" t="e">
        <v>#N/A</v>
      </c>
      <c r="CN102" s="41" t="e">
        <v>#N/A</v>
      </c>
      <c r="CO102" s="58" t="e">
        <v>#N/A</v>
      </c>
      <c r="CP102" s="41" t="e">
        <v>#N/A</v>
      </c>
      <c r="CQ102" s="41" t="e">
        <v>#N/A</v>
      </c>
      <c r="CR102" s="41" t="e">
        <v>#N/A</v>
      </c>
      <c r="CS102" s="41" t="e">
        <v>#N/A</v>
      </c>
      <c r="CT102" s="41" t="e">
        <v>#N/A</v>
      </c>
      <c r="CU102" s="41" t="e">
        <v>#N/A</v>
      </c>
      <c r="CV102" s="41" t="e">
        <v>#N/A</v>
      </c>
      <c r="CW102" s="41" t="e">
        <v>#N/A</v>
      </c>
      <c r="CX102" s="41" t="e">
        <v>#N/A</v>
      </c>
      <c r="CY102" s="41" t="e">
        <v>#N/A</v>
      </c>
      <c r="CZ102" s="41" t="e">
        <v>#N/A</v>
      </c>
      <c r="DA102" s="41" t="e">
        <v>#N/A</v>
      </c>
      <c r="DB102" s="41" t="e">
        <v>#N/A</v>
      </c>
      <c r="DC102" s="41" t="e">
        <v>#N/A</v>
      </c>
      <c r="DD102" s="41" t="e">
        <v>#N/A</v>
      </c>
      <c r="DE102" s="41" t="e">
        <v>#N/A</v>
      </c>
      <c r="DF102" s="133" t="e">
        <v>#N/A</v>
      </c>
      <c r="DG102" s="41" t="e">
        <v>#N/A</v>
      </c>
      <c r="DH102" s="41" t="e">
        <v>#N/A</v>
      </c>
      <c r="DI102" s="41" t="e">
        <v>#N/A</v>
      </c>
      <c r="DJ102" s="41" t="e">
        <v>#N/A</v>
      </c>
      <c r="DK102" s="41" t="e">
        <v>#N/A</v>
      </c>
      <c r="DL102" s="41" t="e">
        <v>#N/A</v>
      </c>
      <c r="DM102" s="39" t="e">
        <f t="shared" si="2"/>
        <v>#N/A</v>
      </c>
      <c r="DN102" s="41" t="e">
        <v>#N/A</v>
      </c>
    </row>
    <row r="103" spans="1:118" ht="15.75" customHeight="1" x14ac:dyDescent="0.25">
      <c r="A103" s="37">
        <v>98</v>
      </c>
      <c r="C103" s="140">
        <v>9575</v>
      </c>
      <c r="D103" s="133" t="e">
        <v>#N/A</v>
      </c>
      <c r="E103" s="41" t="e">
        <v>#N/A</v>
      </c>
      <c r="F103" s="133" t="e">
        <v>#N/A</v>
      </c>
      <c r="G103" s="133" t="e">
        <v>#N/A</v>
      </c>
      <c r="H103" s="133" t="e">
        <v>#N/A</v>
      </c>
      <c r="I103" s="41" t="e">
        <v>#N/A</v>
      </c>
      <c r="J103" s="133" t="e">
        <v>#N/A</v>
      </c>
      <c r="K103" s="133" t="e">
        <v>#N/A</v>
      </c>
      <c r="L103" s="133" t="e">
        <v>#N/A</v>
      </c>
      <c r="M103" s="133" t="e">
        <v>#N/A</v>
      </c>
      <c r="N103" s="133" t="e">
        <v>#N/A</v>
      </c>
      <c r="O103" s="133" t="e">
        <v>#N/A</v>
      </c>
      <c r="P103" s="133" t="e">
        <v>#N/A</v>
      </c>
      <c r="Q103" s="133" t="e">
        <v>#N/A</v>
      </c>
      <c r="R103" s="41" t="e">
        <v>#N/A</v>
      </c>
      <c r="S103" s="41" t="e">
        <v>#N/A</v>
      </c>
      <c r="T103" s="41" t="e">
        <v>#N/A</v>
      </c>
      <c r="U103" s="41" t="e">
        <v>#N/A</v>
      </c>
      <c r="V103" s="41" t="e">
        <v>#N/A</v>
      </c>
      <c r="W103" s="41" t="e">
        <v>#N/A</v>
      </c>
      <c r="X103" s="41" t="e">
        <v>#N/A</v>
      </c>
      <c r="Y103" s="41" t="e">
        <v>#N/A</v>
      </c>
      <c r="Z103" s="41" t="e">
        <v>#N/A</v>
      </c>
      <c r="AA103" s="41" t="e">
        <v>#N/A</v>
      </c>
      <c r="AB103" s="133" t="e">
        <v>#N/A</v>
      </c>
      <c r="AC103" s="133" t="e">
        <v>#N/A</v>
      </c>
      <c r="AD103" s="133" t="e">
        <v>#N/A</v>
      </c>
      <c r="AE103" s="133" t="e">
        <v>#N/A</v>
      </c>
      <c r="AF103" s="133" t="e">
        <v>#N/A</v>
      </c>
      <c r="AG103" s="133" t="e">
        <v>#N/A</v>
      </c>
      <c r="AH103" s="41" t="e">
        <v>#N/A</v>
      </c>
      <c r="AI103" s="41" t="e">
        <v>#N/A</v>
      </c>
      <c r="AJ103" s="41" t="e">
        <v>#N/A</v>
      </c>
      <c r="AK103" s="41" t="e">
        <v>#N/A</v>
      </c>
      <c r="AL103" s="41" t="e">
        <v>#N/A</v>
      </c>
      <c r="AM103" s="41" t="e">
        <v>#N/A</v>
      </c>
      <c r="AN103" s="41" t="e">
        <v>#N/A</v>
      </c>
      <c r="AO103" s="41" t="e">
        <v>#N/A</v>
      </c>
      <c r="AP103" s="41" t="e">
        <v>#N/A</v>
      </c>
      <c r="AQ103" s="41" t="e">
        <v>#N/A</v>
      </c>
      <c r="AR103" s="41" t="e">
        <v>#N/A</v>
      </c>
      <c r="AS103" s="41" t="e">
        <v>#N/A</v>
      </c>
      <c r="AT103" s="41" t="e">
        <v>#N/A</v>
      </c>
      <c r="AU103" s="41" t="e">
        <v>#N/A</v>
      </c>
      <c r="AV103" s="41" t="e">
        <v>#N/A</v>
      </c>
      <c r="AW103" s="41" t="e">
        <v>#N/A</v>
      </c>
      <c r="AX103" s="41" t="e">
        <v>#N/A</v>
      </c>
      <c r="AY103" s="41" t="e">
        <v>#N/A</v>
      </c>
      <c r="AZ103" s="41" t="e">
        <v>#N/A</v>
      </c>
      <c r="BA103" s="41" t="e">
        <v>#N/A</v>
      </c>
      <c r="BB103" s="41" t="e">
        <v>#N/A</v>
      </c>
      <c r="BC103" s="41" t="e">
        <v>#N/A</v>
      </c>
      <c r="BD103" s="41" t="e">
        <v>#N/A</v>
      </c>
      <c r="BE103" s="41" t="e">
        <v>#N/A</v>
      </c>
      <c r="BF103" s="41" t="e">
        <v>#N/A</v>
      </c>
      <c r="BG103" s="41" t="e">
        <v>#N/A</v>
      </c>
      <c r="BH103" s="41" t="e">
        <v>#N/A</v>
      </c>
      <c r="BI103" s="41" t="e">
        <v>#N/A</v>
      </c>
      <c r="BJ103" s="41" t="e">
        <v>#N/A</v>
      </c>
      <c r="BK103" s="41" t="e">
        <v>#N/A</v>
      </c>
      <c r="BL103" s="41" t="e">
        <v>#N/A</v>
      </c>
      <c r="BM103" s="41" t="e">
        <v>#N/A</v>
      </c>
      <c r="BN103" s="41" t="e">
        <v>#N/A</v>
      </c>
      <c r="BO103" s="41" t="e">
        <v>#N/A</v>
      </c>
      <c r="BP103" s="41" t="e">
        <v>#N/A</v>
      </c>
      <c r="BQ103" s="41" t="e">
        <v>#N/A</v>
      </c>
      <c r="BR103" s="41" t="e">
        <v>#N/A</v>
      </c>
      <c r="BS103" s="41" t="e">
        <v>#N/A</v>
      </c>
      <c r="BT103" s="41" t="e">
        <v>#N/A</v>
      </c>
      <c r="BU103" s="41" t="e">
        <v>#N/A</v>
      </c>
      <c r="BV103" s="41" t="e">
        <v>#N/A</v>
      </c>
      <c r="BW103" s="41" t="e">
        <v>#N/A</v>
      </c>
      <c r="BX103" s="41" t="e">
        <v>#N/A</v>
      </c>
      <c r="BY103" s="41" t="e">
        <v>#N/A</v>
      </c>
      <c r="BZ103" s="41" t="e">
        <v>#N/A</v>
      </c>
      <c r="CA103" s="41" t="e">
        <v>#N/A</v>
      </c>
      <c r="CB103" s="41" t="e">
        <v>#N/A</v>
      </c>
      <c r="CC103" s="41" t="e">
        <v>#N/A</v>
      </c>
      <c r="CD103" s="41" t="e">
        <v>#N/A</v>
      </c>
      <c r="CE103" s="41" t="e">
        <v>#N/A</v>
      </c>
      <c r="CF103" s="41" t="e">
        <v>#N/A</v>
      </c>
      <c r="CG103" s="41" t="e">
        <v>#N/A</v>
      </c>
      <c r="CH103" s="41" t="e">
        <v>#N/A</v>
      </c>
      <c r="CI103" s="41" t="e">
        <v>#N/A</v>
      </c>
      <c r="CJ103" s="41" t="e">
        <v>#N/A</v>
      </c>
      <c r="CK103" s="41" t="e">
        <v>#N/A</v>
      </c>
      <c r="CL103" s="41" t="e">
        <v>#N/A</v>
      </c>
      <c r="CM103" s="41" t="e">
        <v>#N/A</v>
      </c>
      <c r="CN103" s="41" t="e">
        <v>#N/A</v>
      </c>
      <c r="CO103" s="58" t="e">
        <v>#N/A</v>
      </c>
      <c r="CP103" s="41" t="e">
        <v>#N/A</v>
      </c>
      <c r="CQ103" s="41" t="e">
        <v>#N/A</v>
      </c>
      <c r="CR103" s="41" t="e">
        <v>#N/A</v>
      </c>
      <c r="CS103" s="41" t="e">
        <v>#N/A</v>
      </c>
      <c r="CT103" s="41" t="e">
        <v>#N/A</v>
      </c>
      <c r="CU103" s="41" t="e">
        <v>#N/A</v>
      </c>
      <c r="CV103" s="41" t="e">
        <v>#N/A</v>
      </c>
      <c r="CW103" s="41" t="e">
        <v>#N/A</v>
      </c>
      <c r="CX103" s="41" t="e">
        <v>#N/A</v>
      </c>
      <c r="CY103" s="41" t="e">
        <v>#N/A</v>
      </c>
      <c r="CZ103" s="41" t="e">
        <v>#N/A</v>
      </c>
      <c r="DA103" s="41" t="e">
        <v>#N/A</v>
      </c>
      <c r="DB103" s="41" t="e">
        <v>#N/A</v>
      </c>
      <c r="DC103" s="41" t="e">
        <v>#N/A</v>
      </c>
      <c r="DD103" s="41" t="e">
        <v>#N/A</v>
      </c>
      <c r="DE103" s="41" t="e">
        <v>#N/A</v>
      </c>
      <c r="DF103" s="133" t="e">
        <v>#N/A</v>
      </c>
      <c r="DG103" s="41" t="e">
        <v>#N/A</v>
      </c>
      <c r="DH103" s="41" t="e">
        <v>#N/A</v>
      </c>
      <c r="DI103" s="41" t="e">
        <v>#N/A</v>
      </c>
      <c r="DJ103" s="41" t="e">
        <v>#N/A</v>
      </c>
      <c r="DK103" s="41" t="e">
        <v>#N/A</v>
      </c>
      <c r="DL103" s="41" t="e">
        <v>#N/A</v>
      </c>
      <c r="DM103" s="39" t="e">
        <f t="shared" si="2"/>
        <v>#N/A</v>
      </c>
      <c r="DN103" s="41" t="e">
        <v>#N/A</v>
      </c>
    </row>
    <row r="104" spans="1:118" ht="15.75" customHeight="1" x14ac:dyDescent="0.25">
      <c r="A104" s="37">
        <v>99</v>
      </c>
      <c r="C104" s="140">
        <v>3583</v>
      </c>
      <c r="D104" s="133" t="e">
        <v>#N/A</v>
      </c>
      <c r="E104" s="41" t="e">
        <v>#N/A</v>
      </c>
      <c r="F104" s="133" t="e">
        <v>#N/A</v>
      </c>
      <c r="G104" s="133" t="e">
        <v>#N/A</v>
      </c>
      <c r="H104" s="133" t="e">
        <v>#N/A</v>
      </c>
      <c r="I104" s="41" t="e">
        <v>#N/A</v>
      </c>
      <c r="J104" s="133" t="e">
        <v>#N/A</v>
      </c>
      <c r="K104" s="133" t="e">
        <v>#N/A</v>
      </c>
      <c r="L104" s="133" t="e">
        <v>#N/A</v>
      </c>
      <c r="M104" s="133" t="e">
        <v>#N/A</v>
      </c>
      <c r="N104" s="133" t="e">
        <v>#N/A</v>
      </c>
      <c r="O104" s="133" t="e">
        <v>#N/A</v>
      </c>
      <c r="P104" s="133" t="e">
        <v>#N/A</v>
      </c>
      <c r="Q104" s="133" t="e">
        <v>#N/A</v>
      </c>
      <c r="R104" s="41" t="e">
        <v>#N/A</v>
      </c>
      <c r="S104" s="41" t="e">
        <v>#N/A</v>
      </c>
      <c r="T104" s="41" t="e">
        <v>#N/A</v>
      </c>
      <c r="U104" s="41" t="e">
        <v>#N/A</v>
      </c>
      <c r="V104" s="41" t="e">
        <v>#N/A</v>
      </c>
      <c r="W104" s="41" t="e">
        <v>#N/A</v>
      </c>
      <c r="X104" s="41" t="e">
        <v>#N/A</v>
      </c>
      <c r="Y104" s="41" t="e">
        <v>#N/A</v>
      </c>
      <c r="Z104" s="41" t="e">
        <v>#N/A</v>
      </c>
      <c r="AA104" s="41" t="e">
        <v>#N/A</v>
      </c>
      <c r="AB104" s="133" t="e">
        <v>#N/A</v>
      </c>
      <c r="AC104" s="133" t="e">
        <v>#N/A</v>
      </c>
      <c r="AD104" s="133" t="e">
        <v>#N/A</v>
      </c>
      <c r="AE104" s="133" t="e">
        <v>#N/A</v>
      </c>
      <c r="AF104" s="133" t="e">
        <v>#N/A</v>
      </c>
      <c r="AG104" s="133" t="e">
        <v>#N/A</v>
      </c>
      <c r="AH104" s="41" t="e">
        <v>#N/A</v>
      </c>
      <c r="AI104" s="41" t="e">
        <v>#N/A</v>
      </c>
      <c r="AJ104" s="41" t="e">
        <v>#N/A</v>
      </c>
      <c r="AK104" s="41" t="e">
        <v>#N/A</v>
      </c>
      <c r="AL104" s="41" t="e">
        <v>#N/A</v>
      </c>
      <c r="AM104" s="41" t="e">
        <v>#N/A</v>
      </c>
      <c r="AN104" s="41" t="e">
        <v>#N/A</v>
      </c>
      <c r="AO104" s="41" t="e">
        <v>#N/A</v>
      </c>
      <c r="AP104" s="41" t="e">
        <v>#N/A</v>
      </c>
      <c r="AQ104" s="41" t="e">
        <v>#N/A</v>
      </c>
      <c r="AR104" s="41" t="e">
        <v>#N/A</v>
      </c>
      <c r="AS104" s="41" t="e">
        <v>#N/A</v>
      </c>
      <c r="AT104" s="41" t="e">
        <v>#N/A</v>
      </c>
      <c r="AU104" s="41" t="e">
        <v>#N/A</v>
      </c>
      <c r="AV104" s="41" t="e">
        <v>#N/A</v>
      </c>
      <c r="AW104" s="41" t="e">
        <v>#N/A</v>
      </c>
      <c r="AX104" s="41" t="e">
        <v>#N/A</v>
      </c>
      <c r="AY104" s="41" t="e">
        <v>#N/A</v>
      </c>
      <c r="AZ104" s="41" t="e">
        <v>#N/A</v>
      </c>
      <c r="BA104" s="41" t="e">
        <v>#N/A</v>
      </c>
      <c r="BB104" s="41" t="e">
        <v>#N/A</v>
      </c>
      <c r="BC104" s="41" t="e">
        <v>#N/A</v>
      </c>
      <c r="BD104" s="41" t="e">
        <v>#N/A</v>
      </c>
      <c r="BE104" s="41" t="e">
        <v>#N/A</v>
      </c>
      <c r="BF104" s="41" t="e">
        <v>#N/A</v>
      </c>
      <c r="BG104" s="41" t="e">
        <v>#N/A</v>
      </c>
      <c r="BH104" s="41" t="e">
        <v>#N/A</v>
      </c>
      <c r="BI104" s="41" t="e">
        <v>#N/A</v>
      </c>
      <c r="BJ104" s="41" t="e">
        <v>#N/A</v>
      </c>
      <c r="BK104" s="41" t="e">
        <v>#N/A</v>
      </c>
      <c r="BL104" s="41" t="e">
        <v>#N/A</v>
      </c>
      <c r="BM104" s="41" t="e">
        <v>#N/A</v>
      </c>
      <c r="BN104" s="41" t="e">
        <v>#N/A</v>
      </c>
      <c r="BO104" s="41" t="e">
        <v>#N/A</v>
      </c>
      <c r="BP104" s="41" t="e">
        <v>#N/A</v>
      </c>
      <c r="BQ104" s="41" t="e">
        <v>#N/A</v>
      </c>
      <c r="BR104" s="41" t="e">
        <v>#N/A</v>
      </c>
      <c r="BS104" s="41" t="e">
        <v>#N/A</v>
      </c>
      <c r="BT104" s="41" t="e">
        <v>#N/A</v>
      </c>
      <c r="BU104" s="41" t="e">
        <v>#N/A</v>
      </c>
      <c r="BV104" s="41" t="e">
        <v>#N/A</v>
      </c>
      <c r="BW104" s="41" t="e">
        <v>#N/A</v>
      </c>
      <c r="BX104" s="41" t="e">
        <v>#N/A</v>
      </c>
      <c r="BY104" s="41" t="e">
        <v>#N/A</v>
      </c>
      <c r="BZ104" s="41" t="e">
        <v>#N/A</v>
      </c>
      <c r="CA104" s="41" t="e">
        <v>#N/A</v>
      </c>
      <c r="CB104" s="41" t="e">
        <v>#N/A</v>
      </c>
      <c r="CC104" s="41" t="e">
        <v>#N/A</v>
      </c>
      <c r="CD104" s="41" t="e">
        <v>#N/A</v>
      </c>
      <c r="CE104" s="41" t="e">
        <v>#N/A</v>
      </c>
      <c r="CF104" s="41" t="e">
        <v>#N/A</v>
      </c>
      <c r="CG104" s="41" t="e">
        <v>#N/A</v>
      </c>
      <c r="CH104" s="41" t="e">
        <v>#N/A</v>
      </c>
      <c r="CI104" s="41" t="e">
        <v>#N/A</v>
      </c>
      <c r="CJ104" s="41" t="e">
        <v>#N/A</v>
      </c>
      <c r="CK104" s="41" t="e">
        <v>#N/A</v>
      </c>
      <c r="CL104" s="41" t="e">
        <v>#N/A</v>
      </c>
      <c r="CM104" s="41" t="e">
        <v>#N/A</v>
      </c>
      <c r="CN104" s="41" t="e">
        <v>#N/A</v>
      </c>
      <c r="CO104" s="58" t="e">
        <v>#N/A</v>
      </c>
      <c r="CP104" s="41" t="e">
        <v>#N/A</v>
      </c>
      <c r="CQ104" s="41" t="e">
        <v>#N/A</v>
      </c>
      <c r="CR104" s="41" t="e">
        <v>#N/A</v>
      </c>
      <c r="CS104" s="41" t="e">
        <v>#N/A</v>
      </c>
      <c r="CT104" s="41" t="e">
        <v>#N/A</v>
      </c>
      <c r="CU104" s="41" t="e">
        <v>#N/A</v>
      </c>
      <c r="CV104" s="41" t="e">
        <v>#N/A</v>
      </c>
      <c r="CW104" s="41" t="e">
        <v>#N/A</v>
      </c>
      <c r="CX104" s="41" t="e">
        <v>#N/A</v>
      </c>
      <c r="CY104" s="41" t="e">
        <v>#N/A</v>
      </c>
      <c r="CZ104" s="41" t="e">
        <v>#N/A</v>
      </c>
      <c r="DA104" s="41" t="e">
        <v>#N/A</v>
      </c>
      <c r="DB104" s="41" t="e">
        <v>#N/A</v>
      </c>
      <c r="DC104" s="41" t="e">
        <v>#N/A</v>
      </c>
      <c r="DD104" s="41" t="e">
        <v>#N/A</v>
      </c>
      <c r="DE104" s="41" t="e">
        <v>#N/A</v>
      </c>
      <c r="DF104" s="133" t="e">
        <v>#N/A</v>
      </c>
      <c r="DG104" s="41" t="e">
        <v>#N/A</v>
      </c>
      <c r="DH104" s="41" t="e">
        <v>#N/A</v>
      </c>
      <c r="DI104" s="41" t="e">
        <v>#N/A</v>
      </c>
      <c r="DJ104" s="41" t="e">
        <v>#N/A</v>
      </c>
      <c r="DK104" s="41" t="e">
        <v>#N/A</v>
      </c>
      <c r="DL104" s="41" t="e">
        <v>#N/A</v>
      </c>
      <c r="DM104" s="39" t="e">
        <f t="shared" si="2"/>
        <v>#N/A</v>
      </c>
      <c r="DN104" s="41" t="e">
        <v>#N/A</v>
      </c>
    </row>
    <row r="105" spans="1:118" ht="15.75" customHeight="1" x14ac:dyDescent="0.25">
      <c r="A105" s="37">
        <v>100</v>
      </c>
      <c r="C105" s="140">
        <v>5013</v>
      </c>
      <c r="D105" s="133" t="e">
        <v>#N/A</v>
      </c>
      <c r="E105" s="41" t="e">
        <v>#N/A</v>
      </c>
      <c r="F105" s="133" t="e">
        <v>#N/A</v>
      </c>
      <c r="G105" s="133" t="e">
        <v>#N/A</v>
      </c>
      <c r="H105" s="133" t="e">
        <v>#N/A</v>
      </c>
      <c r="I105" s="41" t="e">
        <v>#N/A</v>
      </c>
      <c r="J105" s="133" t="e">
        <v>#N/A</v>
      </c>
      <c r="K105" s="133" t="e">
        <v>#N/A</v>
      </c>
      <c r="L105" s="133" t="e">
        <v>#N/A</v>
      </c>
      <c r="M105" s="133" t="e">
        <v>#N/A</v>
      </c>
      <c r="N105" s="133" t="e">
        <v>#N/A</v>
      </c>
      <c r="O105" s="133" t="e">
        <v>#N/A</v>
      </c>
      <c r="P105" s="133" t="e">
        <v>#N/A</v>
      </c>
      <c r="Q105" s="133" t="e">
        <v>#N/A</v>
      </c>
      <c r="R105" s="41" t="e">
        <v>#N/A</v>
      </c>
      <c r="S105" s="41" t="e">
        <v>#N/A</v>
      </c>
      <c r="T105" s="41" t="e">
        <v>#N/A</v>
      </c>
      <c r="U105" s="41" t="e">
        <v>#N/A</v>
      </c>
      <c r="V105" s="41" t="e">
        <v>#N/A</v>
      </c>
      <c r="W105" s="41" t="e">
        <v>#N/A</v>
      </c>
      <c r="X105" s="41" t="e">
        <v>#N/A</v>
      </c>
      <c r="Y105" s="41" t="e">
        <v>#N/A</v>
      </c>
      <c r="Z105" s="41" t="e">
        <v>#N/A</v>
      </c>
      <c r="AA105" s="41" t="e">
        <v>#N/A</v>
      </c>
      <c r="AB105" s="133" t="e">
        <v>#N/A</v>
      </c>
      <c r="AC105" s="133" t="e">
        <v>#N/A</v>
      </c>
      <c r="AD105" s="133" t="e">
        <v>#N/A</v>
      </c>
      <c r="AE105" s="133" t="e">
        <v>#N/A</v>
      </c>
      <c r="AF105" s="133" t="e">
        <v>#N/A</v>
      </c>
      <c r="AG105" s="133" t="e">
        <v>#N/A</v>
      </c>
      <c r="AH105" s="41" t="e">
        <v>#N/A</v>
      </c>
      <c r="AI105" s="41" t="e">
        <v>#N/A</v>
      </c>
      <c r="AJ105" s="41" t="e">
        <v>#N/A</v>
      </c>
      <c r="AK105" s="41" t="e">
        <v>#N/A</v>
      </c>
      <c r="AL105" s="41" t="e">
        <v>#N/A</v>
      </c>
      <c r="AM105" s="41" t="e">
        <v>#N/A</v>
      </c>
      <c r="AN105" s="41" t="e">
        <v>#N/A</v>
      </c>
      <c r="AO105" s="41" t="e">
        <v>#N/A</v>
      </c>
      <c r="AP105" s="41" t="e">
        <v>#N/A</v>
      </c>
      <c r="AQ105" s="41" t="e">
        <v>#N/A</v>
      </c>
      <c r="AR105" s="41" t="e">
        <v>#N/A</v>
      </c>
      <c r="AS105" s="41" t="e">
        <v>#N/A</v>
      </c>
      <c r="AT105" s="41" t="e">
        <v>#N/A</v>
      </c>
      <c r="AU105" s="41" t="e">
        <v>#N/A</v>
      </c>
      <c r="AV105" s="41" t="e">
        <v>#N/A</v>
      </c>
      <c r="AW105" s="41" t="e">
        <v>#N/A</v>
      </c>
      <c r="AX105" s="41" t="e">
        <v>#N/A</v>
      </c>
      <c r="AY105" s="41" t="e">
        <v>#N/A</v>
      </c>
      <c r="AZ105" s="41" t="e">
        <v>#N/A</v>
      </c>
      <c r="BA105" s="41" t="e">
        <v>#N/A</v>
      </c>
      <c r="BB105" s="41" t="e">
        <v>#N/A</v>
      </c>
      <c r="BC105" s="41" t="e">
        <v>#N/A</v>
      </c>
      <c r="BD105" s="41" t="e">
        <v>#N/A</v>
      </c>
      <c r="BE105" s="41" t="e">
        <v>#N/A</v>
      </c>
      <c r="BF105" s="41" t="e">
        <v>#N/A</v>
      </c>
      <c r="BG105" s="41" t="e">
        <v>#N/A</v>
      </c>
      <c r="BH105" s="41" t="e">
        <v>#N/A</v>
      </c>
      <c r="BI105" s="41" t="e">
        <v>#N/A</v>
      </c>
      <c r="BJ105" s="41" t="e">
        <v>#N/A</v>
      </c>
      <c r="BK105" s="41" t="e">
        <v>#N/A</v>
      </c>
      <c r="BL105" s="41" t="e">
        <v>#N/A</v>
      </c>
      <c r="BM105" s="41" t="e">
        <v>#N/A</v>
      </c>
      <c r="BN105" s="41" t="e">
        <v>#N/A</v>
      </c>
      <c r="BO105" s="41" t="e">
        <v>#N/A</v>
      </c>
      <c r="BP105" s="41" t="e">
        <v>#N/A</v>
      </c>
      <c r="BQ105" s="41" t="e">
        <v>#N/A</v>
      </c>
      <c r="BR105" s="41" t="e">
        <v>#N/A</v>
      </c>
      <c r="BS105" s="41" t="e">
        <v>#N/A</v>
      </c>
      <c r="BT105" s="41" t="e">
        <v>#N/A</v>
      </c>
      <c r="BU105" s="41" t="e">
        <v>#N/A</v>
      </c>
      <c r="BV105" s="41" t="e">
        <v>#N/A</v>
      </c>
      <c r="BW105" s="41" t="e">
        <v>#N/A</v>
      </c>
      <c r="BX105" s="41" t="e">
        <v>#N/A</v>
      </c>
      <c r="BY105" s="41" t="e">
        <v>#N/A</v>
      </c>
      <c r="BZ105" s="41" t="e">
        <v>#N/A</v>
      </c>
      <c r="CA105" s="41" t="e">
        <v>#N/A</v>
      </c>
      <c r="CB105" s="41" t="e">
        <v>#N/A</v>
      </c>
      <c r="CC105" s="41" t="e">
        <v>#N/A</v>
      </c>
      <c r="CD105" s="41" t="e">
        <v>#N/A</v>
      </c>
      <c r="CE105" s="41" t="e">
        <v>#N/A</v>
      </c>
      <c r="CF105" s="41" t="e">
        <v>#N/A</v>
      </c>
      <c r="CG105" s="41" t="e">
        <v>#N/A</v>
      </c>
      <c r="CH105" s="41" t="e">
        <v>#N/A</v>
      </c>
      <c r="CI105" s="41" t="e">
        <v>#N/A</v>
      </c>
      <c r="CJ105" s="41" t="e">
        <v>#N/A</v>
      </c>
      <c r="CK105" s="41" t="e">
        <v>#N/A</v>
      </c>
      <c r="CL105" s="41" t="e">
        <v>#N/A</v>
      </c>
      <c r="CM105" s="41" t="e">
        <v>#N/A</v>
      </c>
      <c r="CN105" s="41" t="e">
        <v>#N/A</v>
      </c>
      <c r="CO105" s="58" t="e">
        <v>#N/A</v>
      </c>
      <c r="CP105" s="41" t="e">
        <v>#N/A</v>
      </c>
      <c r="CQ105" s="41" t="e">
        <v>#N/A</v>
      </c>
      <c r="CR105" s="41" t="e">
        <v>#N/A</v>
      </c>
      <c r="CS105" s="41" t="e">
        <v>#N/A</v>
      </c>
      <c r="CT105" s="41" t="e">
        <v>#N/A</v>
      </c>
      <c r="CU105" s="41" t="e">
        <v>#N/A</v>
      </c>
      <c r="CV105" s="41" t="e">
        <v>#N/A</v>
      </c>
      <c r="CW105" s="41" t="e">
        <v>#N/A</v>
      </c>
      <c r="CX105" s="41" t="e">
        <v>#N/A</v>
      </c>
      <c r="CY105" s="41" t="e">
        <v>#N/A</v>
      </c>
      <c r="CZ105" s="41" t="e">
        <v>#N/A</v>
      </c>
      <c r="DA105" s="41" t="e">
        <v>#N/A</v>
      </c>
      <c r="DB105" s="41" t="e">
        <v>#N/A</v>
      </c>
      <c r="DC105" s="41" t="e">
        <v>#N/A</v>
      </c>
      <c r="DD105" s="41" t="e">
        <v>#N/A</v>
      </c>
      <c r="DE105" s="41" t="e">
        <v>#N/A</v>
      </c>
      <c r="DF105" s="133" t="e">
        <v>#N/A</v>
      </c>
      <c r="DG105" s="41" t="e">
        <v>#N/A</v>
      </c>
      <c r="DH105" s="41" t="e">
        <v>#N/A</v>
      </c>
      <c r="DI105" s="41" t="e">
        <v>#N/A</v>
      </c>
      <c r="DJ105" s="41" t="e">
        <v>#N/A</v>
      </c>
      <c r="DK105" s="41" t="e">
        <v>#N/A</v>
      </c>
      <c r="DL105" s="41" t="e">
        <v>#N/A</v>
      </c>
      <c r="DM105" s="39" t="e">
        <f t="shared" si="2"/>
        <v>#N/A</v>
      </c>
      <c r="DN105" s="41" t="e">
        <v>#N/A</v>
      </c>
    </row>
    <row r="106" spans="1:118" ht="15.75" customHeight="1" x14ac:dyDescent="0.25">
      <c r="A106" s="37">
        <v>101</v>
      </c>
      <c r="C106" s="140">
        <v>3890</v>
      </c>
      <c r="D106" s="133" t="e">
        <v>#N/A</v>
      </c>
      <c r="E106" s="41" t="e">
        <v>#N/A</v>
      </c>
      <c r="F106" s="133" t="e">
        <v>#N/A</v>
      </c>
      <c r="G106" s="133" t="e">
        <v>#N/A</v>
      </c>
      <c r="H106" s="133" t="e">
        <v>#N/A</v>
      </c>
      <c r="I106" s="41" t="e">
        <v>#N/A</v>
      </c>
      <c r="J106" s="133" t="e">
        <v>#N/A</v>
      </c>
      <c r="K106" s="133" t="e">
        <v>#N/A</v>
      </c>
      <c r="L106" s="133" t="e">
        <v>#N/A</v>
      </c>
      <c r="M106" s="133" t="e">
        <v>#N/A</v>
      </c>
      <c r="N106" s="133" t="e">
        <v>#N/A</v>
      </c>
      <c r="O106" s="133" t="e">
        <v>#N/A</v>
      </c>
      <c r="P106" s="133" t="e">
        <v>#N/A</v>
      </c>
      <c r="Q106" s="133" t="e">
        <v>#N/A</v>
      </c>
      <c r="R106" s="41" t="e">
        <v>#N/A</v>
      </c>
      <c r="S106" s="41" t="e">
        <v>#N/A</v>
      </c>
      <c r="T106" s="41" t="e">
        <v>#N/A</v>
      </c>
      <c r="U106" s="41" t="e">
        <v>#N/A</v>
      </c>
      <c r="V106" s="41" t="e">
        <v>#N/A</v>
      </c>
      <c r="W106" s="41" t="e">
        <v>#N/A</v>
      </c>
      <c r="X106" s="41" t="e">
        <v>#N/A</v>
      </c>
      <c r="Y106" s="41" t="e">
        <v>#N/A</v>
      </c>
      <c r="Z106" s="41" t="e">
        <v>#N/A</v>
      </c>
      <c r="AA106" s="41" t="e">
        <v>#N/A</v>
      </c>
      <c r="AB106" s="133" t="e">
        <v>#N/A</v>
      </c>
      <c r="AC106" s="133" t="e">
        <v>#N/A</v>
      </c>
      <c r="AD106" s="133" t="e">
        <v>#N/A</v>
      </c>
      <c r="AE106" s="133" t="e">
        <v>#N/A</v>
      </c>
      <c r="AF106" s="133" t="e">
        <v>#N/A</v>
      </c>
      <c r="AG106" s="133" t="e">
        <v>#N/A</v>
      </c>
      <c r="AH106" s="41" t="e">
        <v>#N/A</v>
      </c>
      <c r="AI106" s="41" t="e">
        <v>#N/A</v>
      </c>
      <c r="AJ106" s="41" t="e">
        <v>#N/A</v>
      </c>
      <c r="AK106" s="41" t="e">
        <v>#N/A</v>
      </c>
      <c r="AL106" s="41" t="e">
        <v>#N/A</v>
      </c>
      <c r="AM106" s="41" t="e">
        <v>#N/A</v>
      </c>
      <c r="AN106" s="41" t="e">
        <v>#N/A</v>
      </c>
      <c r="AO106" s="41" t="e">
        <v>#N/A</v>
      </c>
      <c r="AP106" s="41" t="e">
        <v>#N/A</v>
      </c>
      <c r="AQ106" s="41" t="e">
        <v>#N/A</v>
      </c>
      <c r="AR106" s="41" t="e">
        <v>#N/A</v>
      </c>
      <c r="AS106" s="41" t="e">
        <v>#N/A</v>
      </c>
      <c r="AT106" s="41" t="e">
        <v>#N/A</v>
      </c>
      <c r="AU106" s="41" t="e">
        <v>#N/A</v>
      </c>
      <c r="AV106" s="41" t="e">
        <v>#N/A</v>
      </c>
      <c r="AW106" s="41" t="e">
        <v>#N/A</v>
      </c>
      <c r="AX106" s="41" t="e">
        <v>#N/A</v>
      </c>
      <c r="AY106" s="41" t="e">
        <v>#N/A</v>
      </c>
      <c r="AZ106" s="41" t="e">
        <v>#N/A</v>
      </c>
      <c r="BA106" s="41" t="e">
        <v>#N/A</v>
      </c>
      <c r="BB106" s="41" t="e">
        <v>#N/A</v>
      </c>
      <c r="BC106" s="41" t="e">
        <v>#N/A</v>
      </c>
      <c r="BD106" s="41" t="e">
        <v>#N/A</v>
      </c>
      <c r="BE106" s="41" t="e">
        <v>#N/A</v>
      </c>
      <c r="BF106" s="41" t="e">
        <v>#N/A</v>
      </c>
      <c r="BG106" s="41" t="e">
        <v>#N/A</v>
      </c>
      <c r="BH106" s="41" t="e">
        <v>#N/A</v>
      </c>
      <c r="BI106" s="41" t="e">
        <v>#N/A</v>
      </c>
      <c r="BJ106" s="41" t="e">
        <v>#N/A</v>
      </c>
      <c r="BK106" s="41" t="e">
        <v>#N/A</v>
      </c>
      <c r="BL106" s="41" t="e">
        <v>#N/A</v>
      </c>
      <c r="BM106" s="41" t="e">
        <v>#N/A</v>
      </c>
      <c r="BN106" s="41" t="e">
        <v>#N/A</v>
      </c>
      <c r="BO106" s="41" t="e">
        <v>#N/A</v>
      </c>
      <c r="BP106" s="41" t="e">
        <v>#N/A</v>
      </c>
      <c r="BQ106" s="41" t="e">
        <v>#N/A</v>
      </c>
      <c r="BR106" s="41" t="e">
        <v>#N/A</v>
      </c>
      <c r="BS106" s="41" t="e">
        <v>#N/A</v>
      </c>
      <c r="BT106" s="41" t="e">
        <v>#N/A</v>
      </c>
      <c r="BU106" s="41" t="e">
        <v>#N/A</v>
      </c>
      <c r="BV106" s="41" t="e">
        <v>#N/A</v>
      </c>
      <c r="BW106" s="41" t="e">
        <v>#N/A</v>
      </c>
      <c r="BX106" s="41" t="e">
        <v>#N/A</v>
      </c>
      <c r="BY106" s="41" t="e">
        <v>#N/A</v>
      </c>
      <c r="BZ106" s="41" t="e">
        <v>#N/A</v>
      </c>
      <c r="CA106" s="41" t="e">
        <v>#N/A</v>
      </c>
      <c r="CB106" s="41" t="e">
        <v>#N/A</v>
      </c>
      <c r="CC106" s="41" t="e">
        <v>#N/A</v>
      </c>
      <c r="CD106" s="41" t="e">
        <v>#N/A</v>
      </c>
      <c r="CE106" s="41" t="e">
        <v>#N/A</v>
      </c>
      <c r="CF106" s="41" t="e">
        <v>#N/A</v>
      </c>
      <c r="CG106" s="41" t="e">
        <v>#N/A</v>
      </c>
      <c r="CH106" s="41" t="e">
        <v>#N/A</v>
      </c>
      <c r="CI106" s="41" t="e">
        <v>#N/A</v>
      </c>
      <c r="CJ106" s="41" t="e">
        <v>#N/A</v>
      </c>
      <c r="CK106" s="41" t="e">
        <v>#N/A</v>
      </c>
      <c r="CL106" s="41" t="e">
        <v>#N/A</v>
      </c>
      <c r="CM106" s="41" t="e">
        <v>#N/A</v>
      </c>
      <c r="CN106" s="41" t="e">
        <v>#N/A</v>
      </c>
      <c r="CO106" s="58" t="e">
        <v>#N/A</v>
      </c>
      <c r="CP106" s="41" t="e">
        <v>#N/A</v>
      </c>
      <c r="CQ106" s="41" t="e">
        <v>#N/A</v>
      </c>
      <c r="CR106" s="41" t="e">
        <v>#N/A</v>
      </c>
      <c r="CS106" s="41" t="e">
        <v>#N/A</v>
      </c>
      <c r="CT106" s="41" t="e">
        <v>#N/A</v>
      </c>
      <c r="CU106" s="41" t="e">
        <v>#N/A</v>
      </c>
      <c r="CV106" s="41" t="e">
        <v>#N/A</v>
      </c>
      <c r="CW106" s="41" t="e">
        <v>#N/A</v>
      </c>
      <c r="CX106" s="41" t="e">
        <v>#N/A</v>
      </c>
      <c r="CY106" s="41" t="e">
        <v>#N/A</v>
      </c>
      <c r="CZ106" s="41" t="e">
        <v>#N/A</v>
      </c>
      <c r="DA106" s="41" t="e">
        <v>#N/A</v>
      </c>
      <c r="DB106" s="41" t="e">
        <v>#N/A</v>
      </c>
      <c r="DC106" s="41" t="e">
        <v>#N/A</v>
      </c>
      <c r="DD106" s="41" t="e">
        <v>#N/A</v>
      </c>
      <c r="DE106" s="41" t="e">
        <v>#N/A</v>
      </c>
      <c r="DF106" s="133" t="e">
        <v>#N/A</v>
      </c>
      <c r="DG106" s="41" t="e">
        <v>#N/A</v>
      </c>
      <c r="DH106" s="41" t="e">
        <v>#N/A</v>
      </c>
      <c r="DI106" s="41" t="e">
        <v>#N/A</v>
      </c>
      <c r="DJ106" s="41" t="e">
        <v>#N/A</v>
      </c>
      <c r="DK106" s="41" t="e">
        <v>#N/A</v>
      </c>
      <c r="DL106" s="41" t="e">
        <v>#N/A</v>
      </c>
      <c r="DM106" s="39" t="e">
        <f t="shared" si="2"/>
        <v>#N/A</v>
      </c>
      <c r="DN106" s="41" t="e">
        <v>#N/A</v>
      </c>
    </row>
    <row r="107" spans="1:118" ht="15.75" customHeight="1" x14ac:dyDescent="0.25">
      <c r="A107" s="37">
        <v>102</v>
      </c>
      <c r="C107" s="140">
        <v>1360</v>
      </c>
      <c r="D107" s="133" t="e">
        <v>#N/A</v>
      </c>
      <c r="E107" s="41" t="e">
        <v>#N/A</v>
      </c>
      <c r="F107" s="133" t="e">
        <v>#N/A</v>
      </c>
      <c r="G107" s="133" t="e">
        <v>#N/A</v>
      </c>
      <c r="H107" s="133" t="e">
        <v>#N/A</v>
      </c>
      <c r="I107" s="41" t="e">
        <v>#N/A</v>
      </c>
      <c r="J107" s="133" t="e">
        <v>#N/A</v>
      </c>
      <c r="K107" s="133" t="e">
        <v>#N/A</v>
      </c>
      <c r="L107" s="133" t="e">
        <v>#N/A</v>
      </c>
      <c r="M107" s="133" t="e">
        <v>#N/A</v>
      </c>
      <c r="N107" s="133" t="e">
        <v>#N/A</v>
      </c>
      <c r="O107" s="133" t="e">
        <v>#N/A</v>
      </c>
      <c r="P107" s="133" t="e">
        <v>#N/A</v>
      </c>
      <c r="Q107" s="133" t="e">
        <v>#N/A</v>
      </c>
      <c r="R107" s="41" t="e">
        <v>#N/A</v>
      </c>
      <c r="S107" s="41" t="e">
        <v>#N/A</v>
      </c>
      <c r="T107" s="41" t="e">
        <v>#N/A</v>
      </c>
      <c r="U107" s="41" t="e">
        <v>#N/A</v>
      </c>
      <c r="V107" s="41" t="e">
        <v>#N/A</v>
      </c>
      <c r="W107" s="41" t="e">
        <v>#N/A</v>
      </c>
      <c r="X107" s="41" t="e">
        <v>#N/A</v>
      </c>
      <c r="Y107" s="41" t="e">
        <v>#N/A</v>
      </c>
      <c r="Z107" s="41" t="e">
        <v>#N/A</v>
      </c>
      <c r="AA107" s="41" t="e">
        <v>#N/A</v>
      </c>
      <c r="AB107" s="133" t="e">
        <v>#N/A</v>
      </c>
      <c r="AC107" s="133" t="e">
        <v>#N/A</v>
      </c>
      <c r="AD107" s="133" t="e">
        <v>#N/A</v>
      </c>
      <c r="AE107" s="133" t="e">
        <v>#N/A</v>
      </c>
      <c r="AF107" s="133" t="e">
        <v>#N/A</v>
      </c>
      <c r="AG107" s="133" t="e">
        <v>#N/A</v>
      </c>
      <c r="AH107" s="41" t="e">
        <v>#N/A</v>
      </c>
      <c r="AI107" s="41" t="e">
        <v>#N/A</v>
      </c>
      <c r="AJ107" s="41" t="e">
        <v>#N/A</v>
      </c>
      <c r="AK107" s="41" t="e">
        <v>#N/A</v>
      </c>
      <c r="AL107" s="41" t="e">
        <v>#N/A</v>
      </c>
      <c r="AM107" s="41" t="e">
        <v>#N/A</v>
      </c>
      <c r="AN107" s="41" t="e">
        <v>#N/A</v>
      </c>
      <c r="AO107" s="41" t="e">
        <v>#N/A</v>
      </c>
      <c r="AP107" s="41" t="e">
        <v>#N/A</v>
      </c>
      <c r="AQ107" s="41" t="e">
        <v>#N/A</v>
      </c>
      <c r="AR107" s="41" t="e">
        <v>#N/A</v>
      </c>
      <c r="AS107" s="41" t="e">
        <v>#N/A</v>
      </c>
      <c r="AT107" s="41" t="e">
        <v>#N/A</v>
      </c>
      <c r="AU107" s="41" t="e">
        <v>#N/A</v>
      </c>
      <c r="AV107" s="41" t="e">
        <v>#N/A</v>
      </c>
      <c r="AW107" s="41" t="e">
        <v>#N/A</v>
      </c>
      <c r="AX107" s="41" t="e">
        <v>#N/A</v>
      </c>
      <c r="AY107" s="41" t="e">
        <v>#N/A</v>
      </c>
      <c r="AZ107" s="41" t="e">
        <v>#N/A</v>
      </c>
      <c r="BA107" s="41" t="e">
        <v>#N/A</v>
      </c>
      <c r="BB107" s="41" t="e">
        <v>#N/A</v>
      </c>
      <c r="BC107" s="41" t="e">
        <v>#N/A</v>
      </c>
      <c r="BD107" s="41" t="e">
        <v>#N/A</v>
      </c>
      <c r="BE107" s="41" t="e">
        <v>#N/A</v>
      </c>
      <c r="BF107" s="41" t="e">
        <v>#N/A</v>
      </c>
      <c r="BG107" s="41" t="e">
        <v>#N/A</v>
      </c>
      <c r="BH107" s="41" t="e">
        <v>#N/A</v>
      </c>
      <c r="BI107" s="41" t="e">
        <v>#N/A</v>
      </c>
      <c r="BJ107" s="41" t="e">
        <v>#N/A</v>
      </c>
      <c r="BK107" s="41" t="e">
        <v>#N/A</v>
      </c>
      <c r="BL107" s="41" t="e">
        <v>#N/A</v>
      </c>
      <c r="BM107" s="41" t="e">
        <v>#N/A</v>
      </c>
      <c r="BN107" s="41" t="e">
        <v>#N/A</v>
      </c>
      <c r="BO107" s="41" t="e">
        <v>#N/A</v>
      </c>
      <c r="BP107" s="41" t="e">
        <v>#N/A</v>
      </c>
      <c r="BQ107" s="41" t="e">
        <v>#N/A</v>
      </c>
      <c r="BR107" s="41" t="e">
        <v>#N/A</v>
      </c>
      <c r="BS107" s="41" t="e">
        <v>#N/A</v>
      </c>
      <c r="BT107" s="41" t="e">
        <v>#N/A</v>
      </c>
      <c r="BU107" s="41" t="e">
        <v>#N/A</v>
      </c>
      <c r="BV107" s="41" t="e">
        <v>#N/A</v>
      </c>
      <c r="BW107" s="41" t="e">
        <v>#N/A</v>
      </c>
      <c r="BX107" s="41" t="e">
        <v>#N/A</v>
      </c>
      <c r="BY107" s="41" t="e">
        <v>#N/A</v>
      </c>
      <c r="BZ107" s="41" t="e">
        <v>#N/A</v>
      </c>
      <c r="CA107" s="41" t="e">
        <v>#N/A</v>
      </c>
      <c r="CB107" s="41" t="e">
        <v>#N/A</v>
      </c>
      <c r="CC107" s="41" t="e">
        <v>#N/A</v>
      </c>
      <c r="CD107" s="41" t="e">
        <v>#N/A</v>
      </c>
      <c r="CE107" s="41" t="e">
        <v>#N/A</v>
      </c>
      <c r="CF107" s="41" t="e">
        <v>#N/A</v>
      </c>
      <c r="CG107" s="41" t="e">
        <v>#N/A</v>
      </c>
      <c r="CH107" s="41" t="e">
        <v>#N/A</v>
      </c>
      <c r="CI107" s="41" t="e">
        <v>#N/A</v>
      </c>
      <c r="CJ107" s="41" t="e">
        <v>#N/A</v>
      </c>
      <c r="CK107" s="41" t="e">
        <v>#N/A</v>
      </c>
      <c r="CL107" s="41" t="e">
        <v>#N/A</v>
      </c>
      <c r="CM107" s="41" t="e">
        <v>#N/A</v>
      </c>
      <c r="CN107" s="41" t="e">
        <v>#N/A</v>
      </c>
      <c r="CO107" s="58" t="e">
        <v>#N/A</v>
      </c>
      <c r="CP107" s="41" t="e">
        <v>#N/A</v>
      </c>
      <c r="CQ107" s="41" t="e">
        <v>#N/A</v>
      </c>
      <c r="CR107" s="41" t="e">
        <v>#N/A</v>
      </c>
      <c r="CS107" s="41" t="e">
        <v>#N/A</v>
      </c>
      <c r="CT107" s="41" t="e">
        <v>#N/A</v>
      </c>
      <c r="CU107" s="41" t="e">
        <v>#N/A</v>
      </c>
      <c r="CV107" s="41" t="e">
        <v>#N/A</v>
      </c>
      <c r="CW107" s="41" t="e">
        <v>#N/A</v>
      </c>
      <c r="CX107" s="41" t="e">
        <v>#N/A</v>
      </c>
      <c r="CY107" s="41" t="e">
        <v>#N/A</v>
      </c>
      <c r="CZ107" s="41" t="e">
        <v>#N/A</v>
      </c>
      <c r="DA107" s="41" t="e">
        <v>#N/A</v>
      </c>
      <c r="DB107" s="41" t="e">
        <v>#N/A</v>
      </c>
      <c r="DC107" s="41" t="e">
        <v>#N/A</v>
      </c>
      <c r="DD107" s="41" t="e">
        <v>#N/A</v>
      </c>
      <c r="DE107" s="41" t="e">
        <v>#N/A</v>
      </c>
      <c r="DF107" s="133" t="e">
        <v>#N/A</v>
      </c>
      <c r="DG107" s="41" t="e">
        <v>#N/A</v>
      </c>
      <c r="DH107" s="41" t="e">
        <v>#N/A</v>
      </c>
      <c r="DI107" s="41" t="e">
        <v>#N/A</v>
      </c>
      <c r="DJ107" s="41" t="e">
        <v>#N/A</v>
      </c>
      <c r="DK107" s="41" t="e">
        <v>#N/A</v>
      </c>
      <c r="DL107" s="41" t="e">
        <v>#N/A</v>
      </c>
      <c r="DM107" s="39" t="e">
        <f t="shared" si="2"/>
        <v>#N/A</v>
      </c>
      <c r="DN107" s="41" t="e">
        <v>#N/A</v>
      </c>
    </row>
    <row r="108" spans="1:118" ht="15.75" customHeight="1" x14ac:dyDescent="0.25">
      <c r="A108" s="37">
        <v>103</v>
      </c>
      <c r="C108" s="140">
        <v>3846</v>
      </c>
      <c r="D108" s="133" t="e">
        <v>#N/A</v>
      </c>
      <c r="E108" s="41" t="e">
        <v>#N/A</v>
      </c>
      <c r="F108" s="133" t="e">
        <v>#N/A</v>
      </c>
      <c r="G108" s="133" t="e">
        <v>#N/A</v>
      </c>
      <c r="H108" s="133" t="e">
        <v>#N/A</v>
      </c>
      <c r="I108" s="41" t="e">
        <v>#N/A</v>
      </c>
      <c r="J108" s="133" t="e">
        <v>#N/A</v>
      </c>
      <c r="K108" s="133" t="e">
        <v>#N/A</v>
      </c>
      <c r="L108" s="133" t="e">
        <v>#N/A</v>
      </c>
      <c r="M108" s="133" t="e">
        <v>#N/A</v>
      </c>
      <c r="N108" s="133" t="e">
        <v>#N/A</v>
      </c>
      <c r="O108" s="133" t="e">
        <v>#N/A</v>
      </c>
      <c r="P108" s="133" t="e">
        <v>#N/A</v>
      </c>
      <c r="Q108" s="133" t="e">
        <v>#N/A</v>
      </c>
      <c r="R108" s="41" t="e">
        <v>#N/A</v>
      </c>
      <c r="S108" s="41" t="e">
        <v>#N/A</v>
      </c>
      <c r="T108" s="41" t="e">
        <v>#N/A</v>
      </c>
      <c r="U108" s="41" t="e">
        <v>#N/A</v>
      </c>
      <c r="V108" s="41" t="e">
        <v>#N/A</v>
      </c>
      <c r="W108" s="41" t="e">
        <v>#N/A</v>
      </c>
      <c r="X108" s="41" t="e">
        <v>#N/A</v>
      </c>
      <c r="Y108" s="41" t="e">
        <v>#N/A</v>
      </c>
      <c r="Z108" s="41" t="e">
        <v>#N/A</v>
      </c>
      <c r="AA108" s="41" t="e">
        <v>#N/A</v>
      </c>
      <c r="AB108" s="133" t="e">
        <v>#N/A</v>
      </c>
      <c r="AC108" s="133" t="e">
        <v>#N/A</v>
      </c>
      <c r="AD108" s="133" t="e">
        <v>#N/A</v>
      </c>
      <c r="AE108" s="133" t="e">
        <v>#N/A</v>
      </c>
      <c r="AF108" s="133" t="e">
        <v>#N/A</v>
      </c>
      <c r="AG108" s="133" t="e">
        <v>#N/A</v>
      </c>
      <c r="AH108" s="41" t="e">
        <v>#N/A</v>
      </c>
      <c r="AI108" s="41" t="e">
        <v>#N/A</v>
      </c>
      <c r="AJ108" s="41" t="e">
        <v>#N/A</v>
      </c>
      <c r="AK108" s="41" t="e">
        <v>#N/A</v>
      </c>
      <c r="AL108" s="41" t="e">
        <v>#N/A</v>
      </c>
      <c r="AM108" s="41" t="e">
        <v>#N/A</v>
      </c>
      <c r="AN108" s="41" t="e">
        <v>#N/A</v>
      </c>
      <c r="AO108" s="41" t="e">
        <v>#N/A</v>
      </c>
      <c r="AP108" s="41" t="e">
        <v>#N/A</v>
      </c>
      <c r="AQ108" s="41" t="e">
        <v>#N/A</v>
      </c>
      <c r="AR108" s="41" t="e">
        <v>#N/A</v>
      </c>
      <c r="AS108" s="41" t="e">
        <v>#N/A</v>
      </c>
      <c r="AT108" s="41" t="e">
        <v>#N/A</v>
      </c>
      <c r="AU108" s="41" t="e">
        <v>#N/A</v>
      </c>
      <c r="AV108" s="41" t="e">
        <v>#N/A</v>
      </c>
      <c r="AW108" s="41" t="e">
        <v>#N/A</v>
      </c>
      <c r="AX108" s="41" t="e">
        <v>#N/A</v>
      </c>
      <c r="AY108" s="41" t="e">
        <v>#N/A</v>
      </c>
      <c r="AZ108" s="41" t="e">
        <v>#N/A</v>
      </c>
      <c r="BA108" s="41" t="e">
        <v>#N/A</v>
      </c>
      <c r="BB108" s="41" t="e">
        <v>#N/A</v>
      </c>
      <c r="BC108" s="41" t="e">
        <v>#N/A</v>
      </c>
      <c r="BD108" s="41" t="e">
        <v>#N/A</v>
      </c>
      <c r="BE108" s="41" t="e">
        <v>#N/A</v>
      </c>
      <c r="BF108" s="41" t="e">
        <v>#N/A</v>
      </c>
      <c r="BG108" s="41" t="e">
        <v>#N/A</v>
      </c>
      <c r="BH108" s="41" t="e">
        <v>#N/A</v>
      </c>
      <c r="BI108" s="41" t="e">
        <v>#N/A</v>
      </c>
      <c r="BJ108" s="41" t="e">
        <v>#N/A</v>
      </c>
      <c r="BK108" s="41" t="e">
        <v>#N/A</v>
      </c>
      <c r="BL108" s="41" t="e">
        <v>#N/A</v>
      </c>
      <c r="BM108" s="41" t="e">
        <v>#N/A</v>
      </c>
      <c r="BN108" s="41" t="e">
        <v>#N/A</v>
      </c>
      <c r="BO108" s="41" t="e">
        <v>#N/A</v>
      </c>
      <c r="BP108" s="41" t="e">
        <v>#N/A</v>
      </c>
      <c r="BQ108" s="41" t="e">
        <v>#N/A</v>
      </c>
      <c r="BR108" s="41" t="e">
        <v>#N/A</v>
      </c>
      <c r="BS108" s="41" t="e">
        <v>#N/A</v>
      </c>
      <c r="BT108" s="41" t="e">
        <v>#N/A</v>
      </c>
      <c r="BU108" s="41" t="e">
        <v>#N/A</v>
      </c>
      <c r="BV108" s="41" t="e">
        <v>#N/A</v>
      </c>
      <c r="BW108" s="41" t="e">
        <v>#N/A</v>
      </c>
      <c r="BX108" s="41" t="e">
        <v>#N/A</v>
      </c>
      <c r="BY108" s="41" t="e">
        <v>#N/A</v>
      </c>
      <c r="BZ108" s="41" t="e">
        <v>#N/A</v>
      </c>
      <c r="CA108" s="41" t="e">
        <v>#N/A</v>
      </c>
      <c r="CB108" s="41" t="e">
        <v>#N/A</v>
      </c>
      <c r="CC108" s="41" t="e">
        <v>#N/A</v>
      </c>
      <c r="CD108" s="41" t="e">
        <v>#N/A</v>
      </c>
      <c r="CE108" s="41" t="e">
        <v>#N/A</v>
      </c>
      <c r="CF108" s="41" t="e">
        <v>#N/A</v>
      </c>
      <c r="CG108" s="41" t="e">
        <v>#N/A</v>
      </c>
      <c r="CH108" s="41" t="e">
        <v>#N/A</v>
      </c>
      <c r="CI108" s="41" t="e">
        <v>#N/A</v>
      </c>
      <c r="CJ108" s="41" t="e">
        <v>#N/A</v>
      </c>
      <c r="CK108" s="41" t="e">
        <v>#N/A</v>
      </c>
      <c r="CL108" s="41" t="e">
        <v>#N/A</v>
      </c>
      <c r="CM108" s="41" t="e">
        <v>#N/A</v>
      </c>
      <c r="CN108" s="41" t="e">
        <v>#N/A</v>
      </c>
      <c r="CO108" s="58" t="e">
        <v>#N/A</v>
      </c>
      <c r="CP108" s="41" t="e">
        <v>#N/A</v>
      </c>
      <c r="CQ108" s="41" t="e">
        <v>#N/A</v>
      </c>
      <c r="CR108" s="41" t="e">
        <v>#N/A</v>
      </c>
      <c r="CS108" s="41" t="e">
        <v>#N/A</v>
      </c>
      <c r="CT108" s="41" t="e">
        <v>#N/A</v>
      </c>
      <c r="CU108" s="41" t="e">
        <v>#N/A</v>
      </c>
      <c r="CV108" s="41" t="e">
        <v>#N/A</v>
      </c>
      <c r="CW108" s="41" t="e">
        <v>#N/A</v>
      </c>
      <c r="CX108" s="41" t="e">
        <v>#N/A</v>
      </c>
      <c r="CY108" s="41" t="e">
        <v>#N/A</v>
      </c>
      <c r="CZ108" s="41" t="e">
        <v>#N/A</v>
      </c>
      <c r="DA108" s="41" t="e">
        <v>#N/A</v>
      </c>
      <c r="DB108" s="41" t="e">
        <v>#N/A</v>
      </c>
      <c r="DC108" s="41" t="e">
        <v>#N/A</v>
      </c>
      <c r="DD108" s="41" t="e">
        <v>#N/A</v>
      </c>
      <c r="DE108" s="41" t="e">
        <v>#N/A</v>
      </c>
      <c r="DF108" s="133" t="e">
        <v>#N/A</v>
      </c>
      <c r="DG108" s="41" t="e">
        <v>#N/A</v>
      </c>
      <c r="DH108" s="41" t="e">
        <v>#N/A</v>
      </c>
      <c r="DI108" s="41" t="e">
        <v>#N/A</v>
      </c>
      <c r="DJ108" s="41" t="e">
        <v>#N/A</v>
      </c>
      <c r="DK108" s="41" t="e">
        <v>#N/A</v>
      </c>
      <c r="DL108" s="41" t="e">
        <v>#N/A</v>
      </c>
      <c r="DM108" s="39" t="e">
        <f t="shared" si="2"/>
        <v>#N/A</v>
      </c>
      <c r="DN108" s="41" t="e">
        <v>#N/A</v>
      </c>
    </row>
    <row r="109" spans="1:118" ht="15.75" customHeight="1" x14ac:dyDescent="0.25">
      <c r="A109" s="37">
        <v>104</v>
      </c>
      <c r="C109" s="140">
        <v>7651</v>
      </c>
      <c r="D109" s="133" t="e">
        <v>#N/A</v>
      </c>
      <c r="E109" s="41" t="e">
        <v>#N/A</v>
      </c>
      <c r="F109" s="133" t="e">
        <v>#N/A</v>
      </c>
      <c r="G109" s="133" t="e">
        <v>#N/A</v>
      </c>
      <c r="H109" s="133" t="e">
        <v>#N/A</v>
      </c>
      <c r="I109" s="41" t="e">
        <v>#N/A</v>
      </c>
      <c r="J109" s="133" t="e">
        <v>#N/A</v>
      </c>
      <c r="K109" s="133" t="e">
        <v>#N/A</v>
      </c>
      <c r="L109" s="133" t="e">
        <v>#N/A</v>
      </c>
      <c r="M109" s="133" t="e">
        <v>#N/A</v>
      </c>
      <c r="N109" s="133" t="e">
        <v>#N/A</v>
      </c>
      <c r="O109" s="133" t="e">
        <v>#N/A</v>
      </c>
      <c r="P109" s="133" t="e">
        <v>#N/A</v>
      </c>
      <c r="Q109" s="133" t="e">
        <v>#N/A</v>
      </c>
      <c r="R109" s="41" t="e">
        <v>#N/A</v>
      </c>
      <c r="S109" s="41" t="e">
        <v>#N/A</v>
      </c>
      <c r="T109" s="41" t="e">
        <v>#N/A</v>
      </c>
      <c r="U109" s="41" t="e">
        <v>#N/A</v>
      </c>
      <c r="V109" s="41" t="e">
        <v>#N/A</v>
      </c>
      <c r="W109" s="41" t="e">
        <v>#N/A</v>
      </c>
      <c r="X109" s="41" t="e">
        <v>#N/A</v>
      </c>
      <c r="Y109" s="41" t="e">
        <v>#N/A</v>
      </c>
      <c r="Z109" s="41" t="e">
        <v>#N/A</v>
      </c>
      <c r="AA109" s="41" t="e">
        <v>#N/A</v>
      </c>
      <c r="AB109" s="133" t="e">
        <v>#N/A</v>
      </c>
      <c r="AC109" s="133" t="e">
        <v>#N/A</v>
      </c>
      <c r="AD109" s="133" t="e">
        <v>#N/A</v>
      </c>
      <c r="AE109" s="133" t="e">
        <v>#N/A</v>
      </c>
      <c r="AF109" s="133" t="e">
        <v>#N/A</v>
      </c>
      <c r="AG109" s="133" t="e">
        <v>#N/A</v>
      </c>
      <c r="AH109" s="41" t="e">
        <v>#N/A</v>
      </c>
      <c r="AI109" s="41" t="e">
        <v>#N/A</v>
      </c>
      <c r="AJ109" s="41" t="e">
        <v>#N/A</v>
      </c>
      <c r="AK109" s="41" t="e">
        <v>#N/A</v>
      </c>
      <c r="AL109" s="41" t="e">
        <v>#N/A</v>
      </c>
      <c r="AM109" s="41" t="e">
        <v>#N/A</v>
      </c>
      <c r="AN109" s="41" t="e">
        <v>#N/A</v>
      </c>
      <c r="AO109" s="41" t="e">
        <v>#N/A</v>
      </c>
      <c r="AP109" s="41" t="e">
        <v>#N/A</v>
      </c>
      <c r="AQ109" s="41" t="e">
        <v>#N/A</v>
      </c>
      <c r="AR109" s="41" t="e">
        <v>#N/A</v>
      </c>
      <c r="AS109" s="41" t="e">
        <v>#N/A</v>
      </c>
      <c r="AT109" s="41" t="e">
        <v>#N/A</v>
      </c>
      <c r="AU109" s="41" t="e">
        <v>#N/A</v>
      </c>
      <c r="AV109" s="41" t="e">
        <v>#N/A</v>
      </c>
      <c r="AW109" s="41" t="e">
        <v>#N/A</v>
      </c>
      <c r="AX109" s="41" t="e">
        <v>#N/A</v>
      </c>
      <c r="AY109" s="41" t="e">
        <v>#N/A</v>
      </c>
      <c r="AZ109" s="41" t="e">
        <v>#N/A</v>
      </c>
      <c r="BA109" s="41" t="e">
        <v>#N/A</v>
      </c>
      <c r="BB109" s="41" t="e">
        <v>#N/A</v>
      </c>
      <c r="BC109" s="41" t="e">
        <v>#N/A</v>
      </c>
      <c r="BD109" s="41" t="e">
        <v>#N/A</v>
      </c>
      <c r="BE109" s="41" t="e">
        <v>#N/A</v>
      </c>
      <c r="BF109" s="41" t="e">
        <v>#N/A</v>
      </c>
      <c r="BG109" s="41" t="e">
        <v>#N/A</v>
      </c>
      <c r="BH109" s="41" t="e">
        <v>#N/A</v>
      </c>
      <c r="BI109" s="41" t="e">
        <v>#N/A</v>
      </c>
      <c r="BJ109" s="41" t="e">
        <v>#N/A</v>
      </c>
      <c r="BK109" s="41" t="e">
        <v>#N/A</v>
      </c>
      <c r="BL109" s="41" t="e">
        <v>#N/A</v>
      </c>
      <c r="BM109" s="41" t="e">
        <v>#N/A</v>
      </c>
      <c r="BN109" s="41" t="e">
        <v>#N/A</v>
      </c>
      <c r="BO109" s="41" t="e">
        <v>#N/A</v>
      </c>
      <c r="BP109" s="41" t="e">
        <v>#N/A</v>
      </c>
      <c r="BQ109" s="41" t="e">
        <v>#N/A</v>
      </c>
      <c r="BR109" s="41" t="e">
        <v>#N/A</v>
      </c>
      <c r="BS109" s="41" t="e">
        <v>#N/A</v>
      </c>
      <c r="BT109" s="41" t="e">
        <v>#N/A</v>
      </c>
      <c r="BU109" s="41" t="e">
        <v>#N/A</v>
      </c>
      <c r="BV109" s="41" t="e">
        <v>#N/A</v>
      </c>
      <c r="BW109" s="41" t="e">
        <v>#N/A</v>
      </c>
      <c r="BX109" s="41" t="e">
        <v>#N/A</v>
      </c>
      <c r="BY109" s="41" t="e">
        <v>#N/A</v>
      </c>
      <c r="BZ109" s="41" t="e">
        <v>#N/A</v>
      </c>
      <c r="CA109" s="41" t="e">
        <v>#N/A</v>
      </c>
      <c r="CB109" s="41" t="e">
        <v>#N/A</v>
      </c>
      <c r="CC109" s="41" t="e">
        <v>#N/A</v>
      </c>
      <c r="CD109" s="41" t="e">
        <v>#N/A</v>
      </c>
      <c r="CE109" s="41" t="e">
        <v>#N/A</v>
      </c>
      <c r="CF109" s="41" t="e">
        <v>#N/A</v>
      </c>
      <c r="CG109" s="41" t="e">
        <v>#N/A</v>
      </c>
      <c r="CH109" s="41" t="e">
        <v>#N/A</v>
      </c>
      <c r="CI109" s="41" t="e">
        <v>#N/A</v>
      </c>
      <c r="CJ109" s="41" t="e">
        <v>#N/A</v>
      </c>
      <c r="CK109" s="41" t="e">
        <v>#N/A</v>
      </c>
      <c r="CL109" s="41" t="e">
        <v>#N/A</v>
      </c>
      <c r="CM109" s="41" t="e">
        <v>#N/A</v>
      </c>
      <c r="CN109" s="41" t="e">
        <v>#N/A</v>
      </c>
      <c r="CO109" s="58" t="e">
        <v>#N/A</v>
      </c>
      <c r="CP109" s="41" t="e">
        <v>#N/A</v>
      </c>
      <c r="CQ109" s="41" t="e">
        <v>#N/A</v>
      </c>
      <c r="CR109" s="41" t="e">
        <v>#N/A</v>
      </c>
      <c r="CS109" s="41" t="e">
        <v>#N/A</v>
      </c>
      <c r="CT109" s="41" t="e">
        <v>#N/A</v>
      </c>
      <c r="CU109" s="41" t="e">
        <v>#N/A</v>
      </c>
      <c r="CV109" s="41" t="e">
        <v>#N/A</v>
      </c>
      <c r="CW109" s="41" t="e">
        <v>#N/A</v>
      </c>
      <c r="CX109" s="41" t="e">
        <v>#N/A</v>
      </c>
      <c r="CY109" s="41" t="e">
        <v>#N/A</v>
      </c>
      <c r="CZ109" s="41" t="e">
        <v>#N/A</v>
      </c>
      <c r="DA109" s="41" t="e">
        <v>#N/A</v>
      </c>
      <c r="DB109" s="41" t="e">
        <v>#N/A</v>
      </c>
      <c r="DC109" s="41" t="e">
        <v>#N/A</v>
      </c>
      <c r="DD109" s="41" t="e">
        <v>#N/A</v>
      </c>
      <c r="DE109" s="41" t="e">
        <v>#N/A</v>
      </c>
      <c r="DF109" s="133" t="e">
        <v>#N/A</v>
      </c>
      <c r="DG109" s="41" t="e">
        <v>#N/A</v>
      </c>
      <c r="DH109" s="41" t="e">
        <v>#N/A</v>
      </c>
      <c r="DI109" s="41" t="e">
        <v>#N/A</v>
      </c>
      <c r="DJ109" s="41" t="e">
        <v>#N/A</v>
      </c>
      <c r="DK109" s="41" t="e">
        <v>#N/A</v>
      </c>
      <c r="DL109" s="41" t="e">
        <v>#N/A</v>
      </c>
      <c r="DM109" s="39" t="e">
        <f t="shared" si="2"/>
        <v>#N/A</v>
      </c>
      <c r="DN109" s="41" t="e">
        <v>#N/A</v>
      </c>
    </row>
    <row r="110" spans="1:118" ht="15.75" customHeight="1" x14ac:dyDescent="0.25">
      <c r="A110" s="37">
        <v>105</v>
      </c>
      <c r="C110" s="140">
        <v>5085</v>
      </c>
      <c r="D110" s="133" t="e">
        <v>#N/A</v>
      </c>
      <c r="E110" s="41" t="e">
        <v>#N/A</v>
      </c>
      <c r="F110" s="133" t="e">
        <v>#N/A</v>
      </c>
      <c r="G110" s="133" t="e">
        <v>#N/A</v>
      </c>
      <c r="H110" s="133" t="e">
        <v>#N/A</v>
      </c>
      <c r="I110" s="41" t="e">
        <v>#N/A</v>
      </c>
      <c r="J110" s="133" t="e">
        <v>#N/A</v>
      </c>
      <c r="K110" s="133" t="e">
        <v>#N/A</v>
      </c>
      <c r="L110" s="133" t="e">
        <v>#N/A</v>
      </c>
      <c r="M110" s="133" t="e">
        <v>#N/A</v>
      </c>
      <c r="N110" s="133" t="e">
        <v>#N/A</v>
      </c>
      <c r="O110" s="133" t="e">
        <v>#N/A</v>
      </c>
      <c r="P110" s="133" t="e">
        <v>#N/A</v>
      </c>
      <c r="Q110" s="133" t="e">
        <v>#N/A</v>
      </c>
      <c r="R110" s="41" t="e">
        <v>#N/A</v>
      </c>
      <c r="S110" s="41" t="e">
        <v>#N/A</v>
      </c>
      <c r="T110" s="41" t="e">
        <v>#N/A</v>
      </c>
      <c r="U110" s="41" t="e">
        <v>#N/A</v>
      </c>
      <c r="V110" s="41" t="e">
        <v>#N/A</v>
      </c>
      <c r="W110" s="41" t="e">
        <v>#N/A</v>
      </c>
      <c r="X110" s="41" t="e">
        <v>#N/A</v>
      </c>
      <c r="Y110" s="41" t="e">
        <v>#N/A</v>
      </c>
      <c r="Z110" s="41" t="e">
        <v>#N/A</v>
      </c>
      <c r="AA110" s="41" t="e">
        <v>#N/A</v>
      </c>
      <c r="AB110" s="133" t="e">
        <v>#N/A</v>
      </c>
      <c r="AC110" s="133" t="e">
        <v>#N/A</v>
      </c>
      <c r="AD110" s="133" t="e">
        <v>#N/A</v>
      </c>
      <c r="AE110" s="133" t="e">
        <v>#N/A</v>
      </c>
      <c r="AF110" s="133" t="e">
        <v>#N/A</v>
      </c>
      <c r="AG110" s="133" t="e">
        <v>#N/A</v>
      </c>
      <c r="AH110" s="41" t="e">
        <v>#N/A</v>
      </c>
      <c r="AI110" s="41" t="e">
        <v>#N/A</v>
      </c>
      <c r="AJ110" s="41" t="e">
        <v>#N/A</v>
      </c>
      <c r="AK110" s="41" t="e">
        <v>#N/A</v>
      </c>
      <c r="AL110" s="41" t="e">
        <v>#N/A</v>
      </c>
      <c r="AM110" s="41" t="e">
        <v>#N/A</v>
      </c>
      <c r="AN110" s="41" t="e">
        <v>#N/A</v>
      </c>
      <c r="AO110" s="41" t="e">
        <v>#N/A</v>
      </c>
      <c r="AP110" s="41" t="e">
        <v>#N/A</v>
      </c>
      <c r="AQ110" s="41" t="e">
        <v>#N/A</v>
      </c>
      <c r="AR110" s="41" t="e">
        <v>#N/A</v>
      </c>
      <c r="AS110" s="41" t="e">
        <v>#N/A</v>
      </c>
      <c r="AT110" s="41" t="e">
        <v>#N/A</v>
      </c>
      <c r="AU110" s="41" t="e">
        <v>#N/A</v>
      </c>
      <c r="AV110" s="41" t="e">
        <v>#N/A</v>
      </c>
      <c r="AW110" s="41" t="e">
        <v>#N/A</v>
      </c>
      <c r="AX110" s="41" t="e">
        <v>#N/A</v>
      </c>
      <c r="AY110" s="41" t="e">
        <v>#N/A</v>
      </c>
      <c r="AZ110" s="41" t="e">
        <v>#N/A</v>
      </c>
      <c r="BA110" s="41" t="e">
        <v>#N/A</v>
      </c>
      <c r="BB110" s="41" t="e">
        <v>#N/A</v>
      </c>
      <c r="BC110" s="41" t="e">
        <v>#N/A</v>
      </c>
      <c r="BD110" s="41" t="e">
        <v>#N/A</v>
      </c>
      <c r="BE110" s="41" t="e">
        <v>#N/A</v>
      </c>
      <c r="BF110" s="41" t="e">
        <v>#N/A</v>
      </c>
      <c r="BG110" s="41" t="e">
        <v>#N/A</v>
      </c>
      <c r="BH110" s="41" t="e">
        <v>#N/A</v>
      </c>
      <c r="BI110" s="41" t="e">
        <v>#N/A</v>
      </c>
      <c r="BJ110" s="41" t="e">
        <v>#N/A</v>
      </c>
      <c r="BK110" s="41" t="e">
        <v>#N/A</v>
      </c>
      <c r="BL110" s="41" t="e">
        <v>#N/A</v>
      </c>
      <c r="BM110" s="41" t="e">
        <v>#N/A</v>
      </c>
      <c r="BN110" s="41" t="e">
        <v>#N/A</v>
      </c>
      <c r="BO110" s="41" t="e">
        <v>#N/A</v>
      </c>
      <c r="BP110" s="41" t="e">
        <v>#N/A</v>
      </c>
      <c r="BQ110" s="41" t="e">
        <v>#N/A</v>
      </c>
      <c r="BR110" s="41" t="e">
        <v>#N/A</v>
      </c>
      <c r="BS110" s="41" t="e">
        <v>#N/A</v>
      </c>
      <c r="BT110" s="41" t="e">
        <v>#N/A</v>
      </c>
      <c r="BU110" s="41" t="e">
        <v>#N/A</v>
      </c>
      <c r="BV110" s="41" t="e">
        <v>#N/A</v>
      </c>
      <c r="BW110" s="41" t="e">
        <v>#N/A</v>
      </c>
      <c r="BX110" s="41" t="e">
        <v>#N/A</v>
      </c>
      <c r="BY110" s="41" t="e">
        <v>#N/A</v>
      </c>
      <c r="BZ110" s="41" t="e">
        <v>#N/A</v>
      </c>
      <c r="CA110" s="41" t="e">
        <v>#N/A</v>
      </c>
      <c r="CB110" s="41" t="e">
        <v>#N/A</v>
      </c>
      <c r="CC110" s="41" t="e">
        <v>#N/A</v>
      </c>
      <c r="CD110" s="41" t="e">
        <v>#N/A</v>
      </c>
      <c r="CE110" s="41" t="e">
        <v>#N/A</v>
      </c>
      <c r="CF110" s="41" t="e">
        <v>#N/A</v>
      </c>
      <c r="CG110" s="41" t="e">
        <v>#N/A</v>
      </c>
      <c r="CH110" s="41" t="e">
        <v>#N/A</v>
      </c>
      <c r="CI110" s="41" t="e">
        <v>#N/A</v>
      </c>
      <c r="CJ110" s="41" t="e">
        <v>#N/A</v>
      </c>
      <c r="CK110" s="41" t="e">
        <v>#N/A</v>
      </c>
      <c r="CL110" s="41" t="e">
        <v>#N/A</v>
      </c>
      <c r="CM110" s="41" t="e">
        <v>#N/A</v>
      </c>
      <c r="CN110" s="41" t="e">
        <v>#N/A</v>
      </c>
      <c r="CO110" s="58" t="e">
        <v>#N/A</v>
      </c>
      <c r="CP110" s="41" t="e">
        <v>#N/A</v>
      </c>
      <c r="CQ110" s="41" t="e">
        <v>#N/A</v>
      </c>
      <c r="CR110" s="41" t="e">
        <v>#N/A</v>
      </c>
      <c r="CS110" s="41" t="e">
        <v>#N/A</v>
      </c>
      <c r="CT110" s="41" t="e">
        <v>#N/A</v>
      </c>
      <c r="CU110" s="41" t="e">
        <v>#N/A</v>
      </c>
      <c r="CV110" s="41" t="e">
        <v>#N/A</v>
      </c>
      <c r="CW110" s="41" t="e">
        <v>#N/A</v>
      </c>
      <c r="CX110" s="41" t="e">
        <v>#N/A</v>
      </c>
      <c r="CY110" s="41" t="e">
        <v>#N/A</v>
      </c>
      <c r="CZ110" s="41" t="e">
        <v>#N/A</v>
      </c>
      <c r="DA110" s="41" t="e">
        <v>#N/A</v>
      </c>
      <c r="DB110" s="41" t="e">
        <v>#N/A</v>
      </c>
      <c r="DC110" s="41" t="e">
        <v>#N/A</v>
      </c>
      <c r="DD110" s="41" t="e">
        <v>#N/A</v>
      </c>
      <c r="DE110" s="41" t="e">
        <v>#N/A</v>
      </c>
      <c r="DF110" s="133" t="e">
        <v>#N/A</v>
      </c>
      <c r="DG110" s="41" t="e">
        <v>#N/A</v>
      </c>
      <c r="DH110" s="41" t="e">
        <v>#N/A</v>
      </c>
      <c r="DI110" s="41" t="e">
        <v>#N/A</v>
      </c>
      <c r="DJ110" s="41" t="e">
        <v>#N/A</v>
      </c>
      <c r="DK110" s="41" t="e">
        <v>#N/A</v>
      </c>
      <c r="DL110" s="41" t="e">
        <v>#N/A</v>
      </c>
      <c r="DM110" s="39" t="e">
        <f t="shared" si="2"/>
        <v>#N/A</v>
      </c>
      <c r="DN110" s="41" t="e">
        <v>#N/A</v>
      </c>
    </row>
    <row r="111" spans="1:118" ht="15.75" customHeight="1" x14ac:dyDescent="0.25">
      <c r="A111" s="37">
        <v>106</v>
      </c>
      <c r="C111" s="140">
        <v>6277</v>
      </c>
      <c r="D111" s="133" t="e">
        <v>#N/A</v>
      </c>
      <c r="E111" s="41" t="e">
        <v>#N/A</v>
      </c>
      <c r="F111" s="133" t="e">
        <v>#N/A</v>
      </c>
      <c r="G111" s="133" t="e">
        <v>#N/A</v>
      </c>
      <c r="H111" s="133" t="e">
        <v>#N/A</v>
      </c>
      <c r="I111" s="41" t="e">
        <v>#N/A</v>
      </c>
      <c r="J111" s="133" t="e">
        <v>#N/A</v>
      </c>
      <c r="K111" s="133" t="e">
        <v>#N/A</v>
      </c>
      <c r="L111" s="133" t="e">
        <v>#N/A</v>
      </c>
      <c r="M111" s="133" t="e">
        <v>#N/A</v>
      </c>
      <c r="N111" s="133" t="e">
        <v>#N/A</v>
      </c>
      <c r="O111" s="133" t="e">
        <v>#N/A</v>
      </c>
      <c r="P111" s="133" t="e">
        <v>#N/A</v>
      </c>
      <c r="Q111" s="133" t="e">
        <v>#N/A</v>
      </c>
      <c r="R111" s="41" t="e">
        <v>#N/A</v>
      </c>
      <c r="S111" s="41" t="e">
        <v>#N/A</v>
      </c>
      <c r="T111" s="41" t="e">
        <v>#N/A</v>
      </c>
      <c r="U111" s="41" t="e">
        <v>#N/A</v>
      </c>
      <c r="V111" s="41" t="e">
        <v>#N/A</v>
      </c>
      <c r="W111" s="41" t="e">
        <v>#N/A</v>
      </c>
      <c r="X111" s="41" t="e">
        <v>#N/A</v>
      </c>
      <c r="Y111" s="41" t="e">
        <v>#N/A</v>
      </c>
      <c r="Z111" s="41" t="e">
        <v>#N/A</v>
      </c>
      <c r="AA111" s="41" t="e">
        <v>#N/A</v>
      </c>
      <c r="AB111" s="133" t="e">
        <v>#N/A</v>
      </c>
      <c r="AC111" s="133" t="e">
        <v>#N/A</v>
      </c>
      <c r="AD111" s="133" t="e">
        <v>#N/A</v>
      </c>
      <c r="AE111" s="133" t="e">
        <v>#N/A</v>
      </c>
      <c r="AF111" s="133" t="e">
        <v>#N/A</v>
      </c>
      <c r="AG111" s="133" t="e">
        <v>#N/A</v>
      </c>
      <c r="AH111" s="41" t="e">
        <v>#N/A</v>
      </c>
      <c r="AI111" s="41" t="e">
        <v>#N/A</v>
      </c>
      <c r="AJ111" s="41" t="e">
        <v>#N/A</v>
      </c>
      <c r="AK111" s="41" t="e">
        <v>#N/A</v>
      </c>
      <c r="AL111" s="41" t="e">
        <v>#N/A</v>
      </c>
      <c r="AM111" s="41" t="e">
        <v>#N/A</v>
      </c>
      <c r="AN111" s="41" t="e">
        <v>#N/A</v>
      </c>
      <c r="AO111" s="41" t="e">
        <v>#N/A</v>
      </c>
      <c r="AP111" s="41" t="e">
        <v>#N/A</v>
      </c>
      <c r="AQ111" s="41" t="e">
        <v>#N/A</v>
      </c>
      <c r="AR111" s="41" t="e">
        <v>#N/A</v>
      </c>
      <c r="AS111" s="41" t="e">
        <v>#N/A</v>
      </c>
      <c r="AT111" s="41" t="e">
        <v>#N/A</v>
      </c>
      <c r="AU111" s="41" t="e">
        <v>#N/A</v>
      </c>
      <c r="AV111" s="41" t="e">
        <v>#N/A</v>
      </c>
      <c r="AW111" s="41" t="e">
        <v>#N/A</v>
      </c>
      <c r="AX111" s="41" t="e">
        <v>#N/A</v>
      </c>
      <c r="AY111" s="41" t="e">
        <v>#N/A</v>
      </c>
      <c r="AZ111" s="41" t="e">
        <v>#N/A</v>
      </c>
      <c r="BA111" s="41" t="e">
        <v>#N/A</v>
      </c>
      <c r="BB111" s="41" t="e">
        <v>#N/A</v>
      </c>
      <c r="BC111" s="41" t="e">
        <v>#N/A</v>
      </c>
      <c r="BD111" s="41" t="e">
        <v>#N/A</v>
      </c>
      <c r="BE111" s="41" t="e">
        <v>#N/A</v>
      </c>
      <c r="BF111" s="41" t="e">
        <v>#N/A</v>
      </c>
      <c r="BG111" s="41" t="e">
        <v>#N/A</v>
      </c>
      <c r="BH111" s="41" t="e">
        <v>#N/A</v>
      </c>
      <c r="BI111" s="41" t="e">
        <v>#N/A</v>
      </c>
      <c r="BJ111" s="41" t="e">
        <v>#N/A</v>
      </c>
      <c r="BK111" s="41" t="e">
        <v>#N/A</v>
      </c>
      <c r="BL111" s="41" t="e">
        <v>#N/A</v>
      </c>
      <c r="BM111" s="41" t="e">
        <v>#N/A</v>
      </c>
      <c r="BN111" s="41" t="e">
        <v>#N/A</v>
      </c>
      <c r="BO111" s="41" t="e">
        <v>#N/A</v>
      </c>
      <c r="BP111" s="41" t="e">
        <v>#N/A</v>
      </c>
      <c r="BQ111" s="41" t="e">
        <v>#N/A</v>
      </c>
      <c r="BR111" s="41" t="e">
        <v>#N/A</v>
      </c>
      <c r="BS111" s="41" t="e">
        <v>#N/A</v>
      </c>
      <c r="BT111" s="41" t="e">
        <v>#N/A</v>
      </c>
      <c r="BU111" s="41" t="e">
        <v>#N/A</v>
      </c>
      <c r="BV111" s="41" t="e">
        <v>#N/A</v>
      </c>
      <c r="BW111" s="41" t="e">
        <v>#N/A</v>
      </c>
      <c r="BX111" s="41" t="e">
        <v>#N/A</v>
      </c>
      <c r="BY111" s="41" t="e">
        <v>#N/A</v>
      </c>
      <c r="BZ111" s="41" t="e">
        <v>#N/A</v>
      </c>
      <c r="CA111" s="41" t="e">
        <v>#N/A</v>
      </c>
      <c r="CB111" s="41" t="e">
        <v>#N/A</v>
      </c>
      <c r="CC111" s="41" t="e">
        <v>#N/A</v>
      </c>
      <c r="CD111" s="41" t="e">
        <v>#N/A</v>
      </c>
      <c r="CE111" s="41" t="e">
        <v>#N/A</v>
      </c>
      <c r="CF111" s="41" t="e">
        <v>#N/A</v>
      </c>
      <c r="CG111" s="41" t="e">
        <v>#N/A</v>
      </c>
      <c r="CH111" s="41" t="e">
        <v>#N/A</v>
      </c>
      <c r="CI111" s="41" t="e">
        <v>#N/A</v>
      </c>
      <c r="CJ111" s="41" t="e">
        <v>#N/A</v>
      </c>
      <c r="CK111" s="41" t="e">
        <v>#N/A</v>
      </c>
      <c r="CL111" s="41" t="e">
        <v>#N/A</v>
      </c>
      <c r="CM111" s="41" t="e">
        <v>#N/A</v>
      </c>
      <c r="CN111" s="41" t="e">
        <v>#N/A</v>
      </c>
      <c r="CO111" s="58" t="e">
        <v>#N/A</v>
      </c>
      <c r="CP111" s="41" t="e">
        <v>#N/A</v>
      </c>
      <c r="CQ111" s="41" t="e">
        <v>#N/A</v>
      </c>
      <c r="CR111" s="41" t="e">
        <v>#N/A</v>
      </c>
      <c r="CS111" s="41" t="e">
        <v>#N/A</v>
      </c>
      <c r="CT111" s="41" t="e">
        <v>#N/A</v>
      </c>
      <c r="CU111" s="41" t="e">
        <v>#N/A</v>
      </c>
      <c r="CV111" s="41" t="e">
        <v>#N/A</v>
      </c>
      <c r="CW111" s="41" t="e">
        <v>#N/A</v>
      </c>
      <c r="CX111" s="41" t="e">
        <v>#N/A</v>
      </c>
      <c r="CY111" s="41" t="e">
        <v>#N/A</v>
      </c>
      <c r="CZ111" s="41" t="e">
        <v>#N/A</v>
      </c>
      <c r="DA111" s="41" t="e">
        <v>#N/A</v>
      </c>
      <c r="DB111" s="41" t="e">
        <v>#N/A</v>
      </c>
      <c r="DC111" s="41" t="e">
        <v>#N/A</v>
      </c>
      <c r="DD111" s="41" t="e">
        <v>#N/A</v>
      </c>
      <c r="DE111" s="41" t="e">
        <v>#N/A</v>
      </c>
      <c r="DF111" s="133" t="e">
        <v>#N/A</v>
      </c>
      <c r="DG111" s="41" t="e">
        <v>#N/A</v>
      </c>
      <c r="DH111" s="41" t="e">
        <v>#N/A</v>
      </c>
      <c r="DI111" s="41" t="e">
        <v>#N/A</v>
      </c>
      <c r="DJ111" s="41" t="e">
        <v>#N/A</v>
      </c>
      <c r="DK111" s="41" t="e">
        <v>#N/A</v>
      </c>
      <c r="DL111" s="41" t="e">
        <v>#N/A</v>
      </c>
      <c r="DM111" s="39" t="e">
        <f t="shared" si="2"/>
        <v>#N/A</v>
      </c>
      <c r="DN111" s="41" t="e">
        <v>#N/A</v>
      </c>
    </row>
    <row r="112" spans="1:118" ht="15.75" customHeight="1" x14ac:dyDescent="0.25">
      <c r="A112" s="37">
        <v>107</v>
      </c>
      <c r="C112" s="140">
        <v>1597</v>
      </c>
      <c r="D112" s="133" t="e">
        <v>#N/A</v>
      </c>
      <c r="E112" s="41" t="e">
        <v>#N/A</v>
      </c>
      <c r="F112" s="133" t="e">
        <v>#N/A</v>
      </c>
      <c r="G112" s="133" t="e">
        <v>#N/A</v>
      </c>
      <c r="H112" s="133" t="e">
        <v>#N/A</v>
      </c>
      <c r="I112" s="41" t="e">
        <v>#N/A</v>
      </c>
      <c r="J112" s="133" t="e">
        <v>#N/A</v>
      </c>
      <c r="K112" s="133" t="e">
        <v>#N/A</v>
      </c>
      <c r="L112" s="133" t="e">
        <v>#N/A</v>
      </c>
      <c r="M112" s="133" t="e">
        <v>#N/A</v>
      </c>
      <c r="N112" s="133" t="e">
        <v>#N/A</v>
      </c>
      <c r="O112" s="133" t="e">
        <v>#N/A</v>
      </c>
      <c r="P112" s="133" t="e">
        <v>#N/A</v>
      </c>
      <c r="Q112" s="133" t="e">
        <v>#N/A</v>
      </c>
      <c r="R112" s="41" t="e">
        <v>#N/A</v>
      </c>
      <c r="S112" s="41" t="e">
        <v>#N/A</v>
      </c>
      <c r="T112" s="41" t="e">
        <v>#N/A</v>
      </c>
      <c r="U112" s="41" t="e">
        <v>#N/A</v>
      </c>
      <c r="V112" s="41" t="e">
        <v>#N/A</v>
      </c>
      <c r="W112" s="41" t="e">
        <v>#N/A</v>
      </c>
      <c r="X112" s="41" t="e">
        <v>#N/A</v>
      </c>
      <c r="Y112" s="41" t="e">
        <v>#N/A</v>
      </c>
      <c r="Z112" s="41" t="e">
        <v>#N/A</v>
      </c>
      <c r="AA112" s="41" t="e">
        <v>#N/A</v>
      </c>
      <c r="AB112" s="133" t="e">
        <v>#N/A</v>
      </c>
      <c r="AC112" s="133" t="e">
        <v>#N/A</v>
      </c>
      <c r="AD112" s="133" t="e">
        <v>#N/A</v>
      </c>
      <c r="AE112" s="133" t="e">
        <v>#N/A</v>
      </c>
      <c r="AF112" s="133" t="e">
        <v>#N/A</v>
      </c>
      <c r="AG112" s="133" t="e">
        <v>#N/A</v>
      </c>
      <c r="AH112" s="41" t="e">
        <v>#N/A</v>
      </c>
      <c r="AI112" s="41" t="e">
        <v>#N/A</v>
      </c>
      <c r="AJ112" s="41" t="e">
        <v>#N/A</v>
      </c>
      <c r="AK112" s="41" t="e">
        <v>#N/A</v>
      </c>
      <c r="AL112" s="41" t="e">
        <v>#N/A</v>
      </c>
      <c r="AM112" s="41" t="e">
        <v>#N/A</v>
      </c>
      <c r="AN112" s="41" t="e">
        <v>#N/A</v>
      </c>
      <c r="AO112" s="41" t="e">
        <v>#N/A</v>
      </c>
      <c r="AP112" s="41" t="e">
        <v>#N/A</v>
      </c>
      <c r="AQ112" s="41" t="e">
        <v>#N/A</v>
      </c>
      <c r="AR112" s="41" t="e">
        <v>#N/A</v>
      </c>
      <c r="AS112" s="41" t="e">
        <v>#N/A</v>
      </c>
      <c r="AT112" s="41" t="e">
        <v>#N/A</v>
      </c>
      <c r="AU112" s="41" t="e">
        <v>#N/A</v>
      </c>
      <c r="AV112" s="41" t="e">
        <v>#N/A</v>
      </c>
      <c r="AW112" s="41" t="e">
        <v>#N/A</v>
      </c>
      <c r="AX112" s="41" t="e">
        <v>#N/A</v>
      </c>
      <c r="AY112" s="41" t="e">
        <v>#N/A</v>
      </c>
      <c r="AZ112" s="41" t="e">
        <v>#N/A</v>
      </c>
      <c r="BA112" s="41" t="e">
        <v>#N/A</v>
      </c>
      <c r="BB112" s="41" t="e">
        <v>#N/A</v>
      </c>
      <c r="BC112" s="41" t="e">
        <v>#N/A</v>
      </c>
      <c r="BD112" s="41" t="e">
        <v>#N/A</v>
      </c>
      <c r="BE112" s="41" t="e">
        <v>#N/A</v>
      </c>
      <c r="BF112" s="41" t="e">
        <v>#N/A</v>
      </c>
      <c r="BG112" s="41" t="e">
        <v>#N/A</v>
      </c>
      <c r="BH112" s="41" t="e">
        <v>#N/A</v>
      </c>
      <c r="BI112" s="41" t="e">
        <v>#N/A</v>
      </c>
      <c r="BJ112" s="41" t="e">
        <v>#N/A</v>
      </c>
      <c r="BK112" s="41" t="e">
        <v>#N/A</v>
      </c>
      <c r="BL112" s="41" t="e">
        <v>#N/A</v>
      </c>
      <c r="BM112" s="41" t="e">
        <v>#N/A</v>
      </c>
      <c r="BN112" s="41" t="e">
        <v>#N/A</v>
      </c>
      <c r="BO112" s="41" t="e">
        <v>#N/A</v>
      </c>
      <c r="BP112" s="41" t="e">
        <v>#N/A</v>
      </c>
      <c r="BQ112" s="41" t="e">
        <v>#N/A</v>
      </c>
      <c r="BR112" s="41" t="e">
        <v>#N/A</v>
      </c>
      <c r="BS112" s="41" t="e">
        <v>#N/A</v>
      </c>
      <c r="BT112" s="41" t="e">
        <v>#N/A</v>
      </c>
      <c r="BU112" s="41" t="e">
        <v>#N/A</v>
      </c>
      <c r="BV112" s="41" t="e">
        <v>#N/A</v>
      </c>
      <c r="BW112" s="41" t="e">
        <v>#N/A</v>
      </c>
      <c r="BX112" s="41" t="e">
        <v>#N/A</v>
      </c>
      <c r="BY112" s="41" t="e">
        <v>#N/A</v>
      </c>
      <c r="BZ112" s="41" t="e">
        <v>#N/A</v>
      </c>
      <c r="CA112" s="41" t="e">
        <v>#N/A</v>
      </c>
      <c r="CB112" s="41" t="e">
        <v>#N/A</v>
      </c>
      <c r="CC112" s="41" t="e">
        <v>#N/A</v>
      </c>
      <c r="CD112" s="41" t="e">
        <v>#N/A</v>
      </c>
      <c r="CE112" s="41" t="e">
        <v>#N/A</v>
      </c>
      <c r="CF112" s="41" t="e">
        <v>#N/A</v>
      </c>
      <c r="CG112" s="41" t="e">
        <v>#N/A</v>
      </c>
      <c r="CH112" s="41" t="e">
        <v>#N/A</v>
      </c>
      <c r="CI112" s="41" t="e">
        <v>#N/A</v>
      </c>
      <c r="CJ112" s="41" t="e">
        <v>#N/A</v>
      </c>
      <c r="CK112" s="41" t="e">
        <v>#N/A</v>
      </c>
      <c r="CL112" s="41" t="e">
        <v>#N/A</v>
      </c>
      <c r="CM112" s="41" t="e">
        <v>#N/A</v>
      </c>
      <c r="CN112" s="41" t="e">
        <v>#N/A</v>
      </c>
      <c r="CO112" s="58" t="e">
        <v>#N/A</v>
      </c>
      <c r="CP112" s="41" t="e">
        <v>#N/A</v>
      </c>
      <c r="CQ112" s="41" t="e">
        <v>#N/A</v>
      </c>
      <c r="CR112" s="41" t="e">
        <v>#N/A</v>
      </c>
      <c r="CS112" s="41" t="e">
        <v>#N/A</v>
      </c>
      <c r="CT112" s="41" t="e">
        <v>#N/A</v>
      </c>
      <c r="CU112" s="41" t="e">
        <v>#N/A</v>
      </c>
      <c r="CV112" s="41" t="e">
        <v>#N/A</v>
      </c>
      <c r="CW112" s="41" t="e">
        <v>#N/A</v>
      </c>
      <c r="CX112" s="41" t="e">
        <v>#N/A</v>
      </c>
      <c r="CY112" s="41" t="e">
        <v>#N/A</v>
      </c>
      <c r="CZ112" s="41" t="e">
        <v>#N/A</v>
      </c>
      <c r="DA112" s="41" t="e">
        <v>#N/A</v>
      </c>
      <c r="DB112" s="41" t="e">
        <v>#N/A</v>
      </c>
      <c r="DC112" s="41" t="e">
        <v>#N/A</v>
      </c>
      <c r="DD112" s="41" t="e">
        <v>#N/A</v>
      </c>
      <c r="DE112" s="41" t="e">
        <v>#N/A</v>
      </c>
      <c r="DF112" s="133" t="e">
        <v>#N/A</v>
      </c>
      <c r="DG112" s="41" t="e">
        <v>#N/A</v>
      </c>
      <c r="DH112" s="41" t="e">
        <v>#N/A</v>
      </c>
      <c r="DI112" s="41" t="e">
        <v>#N/A</v>
      </c>
      <c r="DJ112" s="41" t="e">
        <v>#N/A</v>
      </c>
      <c r="DK112" s="41" t="e">
        <v>#N/A</v>
      </c>
      <c r="DL112" s="41" t="e">
        <v>#N/A</v>
      </c>
      <c r="DM112" s="39" t="e">
        <f t="shared" si="2"/>
        <v>#N/A</v>
      </c>
      <c r="DN112" s="41" t="e">
        <v>#N/A</v>
      </c>
    </row>
    <row r="113" spans="1:118" ht="15.75" customHeight="1" x14ac:dyDescent="0.25">
      <c r="A113" s="37">
        <v>108</v>
      </c>
      <c r="C113" s="140">
        <v>2870</v>
      </c>
      <c r="D113" s="133" t="e">
        <v>#N/A</v>
      </c>
      <c r="E113" s="41" t="e">
        <v>#N/A</v>
      </c>
      <c r="F113" s="133" t="e">
        <v>#N/A</v>
      </c>
      <c r="G113" s="133" t="e">
        <v>#N/A</v>
      </c>
      <c r="H113" s="133" t="e">
        <v>#N/A</v>
      </c>
      <c r="I113" s="41" t="e">
        <v>#N/A</v>
      </c>
      <c r="J113" s="133" t="e">
        <v>#N/A</v>
      </c>
      <c r="K113" s="133" t="e">
        <v>#N/A</v>
      </c>
      <c r="L113" s="133" t="e">
        <v>#N/A</v>
      </c>
      <c r="M113" s="133" t="e">
        <v>#N/A</v>
      </c>
      <c r="N113" s="133" t="e">
        <v>#N/A</v>
      </c>
      <c r="O113" s="133" t="e">
        <v>#N/A</v>
      </c>
      <c r="P113" s="133" t="e">
        <v>#N/A</v>
      </c>
      <c r="Q113" s="133" t="e">
        <v>#N/A</v>
      </c>
      <c r="R113" s="41" t="e">
        <v>#N/A</v>
      </c>
      <c r="S113" s="41" t="e">
        <v>#N/A</v>
      </c>
      <c r="T113" s="41" t="e">
        <v>#N/A</v>
      </c>
      <c r="U113" s="41" t="e">
        <v>#N/A</v>
      </c>
      <c r="V113" s="41" t="e">
        <v>#N/A</v>
      </c>
      <c r="W113" s="41" t="e">
        <v>#N/A</v>
      </c>
      <c r="X113" s="41" t="e">
        <v>#N/A</v>
      </c>
      <c r="Y113" s="41" t="e">
        <v>#N/A</v>
      </c>
      <c r="Z113" s="41" t="e">
        <v>#N/A</v>
      </c>
      <c r="AA113" s="41" t="e">
        <v>#N/A</v>
      </c>
      <c r="AB113" s="133" t="e">
        <v>#N/A</v>
      </c>
      <c r="AC113" s="133" t="e">
        <v>#N/A</v>
      </c>
      <c r="AD113" s="133" t="e">
        <v>#N/A</v>
      </c>
      <c r="AE113" s="133" t="e">
        <v>#N/A</v>
      </c>
      <c r="AF113" s="133" t="e">
        <v>#N/A</v>
      </c>
      <c r="AG113" s="133" t="e">
        <v>#N/A</v>
      </c>
      <c r="AH113" s="41" t="e">
        <v>#N/A</v>
      </c>
      <c r="AI113" s="41" t="e">
        <v>#N/A</v>
      </c>
      <c r="AJ113" s="41" t="e">
        <v>#N/A</v>
      </c>
      <c r="AK113" s="41" t="e">
        <v>#N/A</v>
      </c>
      <c r="AL113" s="41" t="e">
        <v>#N/A</v>
      </c>
      <c r="AM113" s="41" t="e">
        <v>#N/A</v>
      </c>
      <c r="AN113" s="41" t="e">
        <v>#N/A</v>
      </c>
      <c r="AO113" s="41" t="e">
        <v>#N/A</v>
      </c>
      <c r="AP113" s="41" t="e">
        <v>#N/A</v>
      </c>
      <c r="AQ113" s="41" t="e">
        <v>#N/A</v>
      </c>
      <c r="AR113" s="41" t="e">
        <v>#N/A</v>
      </c>
      <c r="AS113" s="41" t="e">
        <v>#N/A</v>
      </c>
      <c r="AT113" s="41" t="e">
        <v>#N/A</v>
      </c>
      <c r="AU113" s="41" t="e">
        <v>#N/A</v>
      </c>
      <c r="AV113" s="41" t="e">
        <v>#N/A</v>
      </c>
      <c r="AW113" s="41" t="e">
        <v>#N/A</v>
      </c>
      <c r="AX113" s="41" t="e">
        <v>#N/A</v>
      </c>
      <c r="AY113" s="41" t="e">
        <v>#N/A</v>
      </c>
      <c r="AZ113" s="41" t="e">
        <v>#N/A</v>
      </c>
      <c r="BA113" s="41" t="e">
        <v>#N/A</v>
      </c>
      <c r="BB113" s="41" t="e">
        <v>#N/A</v>
      </c>
      <c r="BC113" s="41" t="e">
        <v>#N/A</v>
      </c>
      <c r="BD113" s="41" t="e">
        <v>#N/A</v>
      </c>
      <c r="BE113" s="41" t="e">
        <v>#N/A</v>
      </c>
      <c r="BF113" s="41" t="e">
        <v>#N/A</v>
      </c>
      <c r="BG113" s="41" t="e">
        <v>#N/A</v>
      </c>
      <c r="BH113" s="41" t="e">
        <v>#N/A</v>
      </c>
      <c r="BI113" s="41" t="e">
        <v>#N/A</v>
      </c>
      <c r="BJ113" s="41" t="e">
        <v>#N/A</v>
      </c>
      <c r="BK113" s="41" t="e">
        <v>#N/A</v>
      </c>
      <c r="BL113" s="41" t="e">
        <v>#N/A</v>
      </c>
      <c r="BM113" s="41" t="e">
        <v>#N/A</v>
      </c>
      <c r="BN113" s="41" t="e">
        <v>#N/A</v>
      </c>
      <c r="BO113" s="41" t="e">
        <v>#N/A</v>
      </c>
      <c r="BP113" s="41" t="e">
        <v>#N/A</v>
      </c>
      <c r="BQ113" s="41" t="e">
        <v>#N/A</v>
      </c>
      <c r="BR113" s="41" t="e">
        <v>#N/A</v>
      </c>
      <c r="BS113" s="41" t="e">
        <v>#N/A</v>
      </c>
      <c r="BT113" s="41" t="e">
        <v>#N/A</v>
      </c>
      <c r="BU113" s="41" t="e">
        <v>#N/A</v>
      </c>
      <c r="BV113" s="41" t="e">
        <v>#N/A</v>
      </c>
      <c r="BW113" s="41" t="e">
        <v>#N/A</v>
      </c>
      <c r="BX113" s="41" t="e">
        <v>#N/A</v>
      </c>
      <c r="BY113" s="41" t="e">
        <v>#N/A</v>
      </c>
      <c r="BZ113" s="41" t="e">
        <v>#N/A</v>
      </c>
      <c r="CA113" s="41" t="e">
        <v>#N/A</v>
      </c>
      <c r="CB113" s="41" t="e">
        <v>#N/A</v>
      </c>
      <c r="CC113" s="41" t="e">
        <v>#N/A</v>
      </c>
      <c r="CD113" s="41" t="e">
        <v>#N/A</v>
      </c>
      <c r="CE113" s="41" t="e">
        <v>#N/A</v>
      </c>
      <c r="CF113" s="41" t="e">
        <v>#N/A</v>
      </c>
      <c r="CG113" s="41" t="e">
        <v>#N/A</v>
      </c>
      <c r="CH113" s="41" t="e">
        <v>#N/A</v>
      </c>
      <c r="CI113" s="41" t="e">
        <v>#N/A</v>
      </c>
      <c r="CJ113" s="41" t="e">
        <v>#N/A</v>
      </c>
      <c r="CK113" s="41" t="e">
        <v>#N/A</v>
      </c>
      <c r="CL113" s="41" t="e">
        <v>#N/A</v>
      </c>
      <c r="CM113" s="41" t="e">
        <v>#N/A</v>
      </c>
      <c r="CN113" s="41" t="e">
        <v>#N/A</v>
      </c>
      <c r="CO113" s="58" t="e">
        <v>#N/A</v>
      </c>
      <c r="CP113" s="41" t="e">
        <v>#N/A</v>
      </c>
      <c r="CQ113" s="41" t="e">
        <v>#N/A</v>
      </c>
      <c r="CR113" s="41" t="e">
        <v>#N/A</v>
      </c>
      <c r="CS113" s="41" t="e">
        <v>#N/A</v>
      </c>
      <c r="CT113" s="41" t="e">
        <v>#N/A</v>
      </c>
      <c r="CU113" s="41" t="e">
        <v>#N/A</v>
      </c>
      <c r="CV113" s="41" t="e">
        <v>#N/A</v>
      </c>
      <c r="CW113" s="41" t="e">
        <v>#N/A</v>
      </c>
      <c r="CX113" s="41" t="e">
        <v>#N/A</v>
      </c>
      <c r="CY113" s="41" t="e">
        <v>#N/A</v>
      </c>
      <c r="CZ113" s="41" t="e">
        <v>#N/A</v>
      </c>
      <c r="DA113" s="41" t="e">
        <v>#N/A</v>
      </c>
      <c r="DB113" s="41" t="e">
        <v>#N/A</v>
      </c>
      <c r="DC113" s="41" t="e">
        <v>#N/A</v>
      </c>
      <c r="DD113" s="41" t="e">
        <v>#N/A</v>
      </c>
      <c r="DE113" s="41" t="e">
        <v>#N/A</v>
      </c>
      <c r="DF113" s="133" t="e">
        <v>#N/A</v>
      </c>
      <c r="DG113" s="41" t="e">
        <v>#N/A</v>
      </c>
      <c r="DH113" s="41" t="e">
        <v>#N/A</v>
      </c>
      <c r="DI113" s="41" t="e">
        <v>#N/A</v>
      </c>
      <c r="DJ113" s="41" t="e">
        <v>#N/A</v>
      </c>
      <c r="DK113" s="41" t="e">
        <v>#N/A</v>
      </c>
      <c r="DL113" s="41" t="e">
        <v>#N/A</v>
      </c>
      <c r="DM113" s="39" t="e">
        <f t="shared" si="2"/>
        <v>#N/A</v>
      </c>
      <c r="DN113" s="41" t="e">
        <v>#N/A</v>
      </c>
    </row>
    <row r="114" spans="1:118" ht="15.75" customHeight="1" x14ac:dyDescent="0.25">
      <c r="A114" s="37">
        <v>109</v>
      </c>
      <c r="C114" s="140">
        <v>2555</v>
      </c>
      <c r="D114" s="133" t="e">
        <v>#N/A</v>
      </c>
      <c r="E114" s="41" t="e">
        <v>#N/A</v>
      </c>
      <c r="F114" s="133" t="e">
        <v>#N/A</v>
      </c>
      <c r="G114" s="133" t="e">
        <v>#N/A</v>
      </c>
      <c r="H114" s="133" t="e">
        <v>#N/A</v>
      </c>
      <c r="I114" s="41" t="e">
        <v>#N/A</v>
      </c>
      <c r="J114" s="133" t="e">
        <v>#N/A</v>
      </c>
      <c r="K114" s="133" t="e">
        <v>#N/A</v>
      </c>
      <c r="L114" s="133" t="e">
        <v>#N/A</v>
      </c>
      <c r="M114" s="133" t="e">
        <v>#N/A</v>
      </c>
      <c r="N114" s="133" t="e">
        <v>#N/A</v>
      </c>
      <c r="O114" s="133" t="e">
        <v>#N/A</v>
      </c>
      <c r="P114" s="133" t="e">
        <v>#N/A</v>
      </c>
      <c r="Q114" s="133" t="e">
        <v>#N/A</v>
      </c>
      <c r="R114" s="41" t="e">
        <v>#N/A</v>
      </c>
      <c r="S114" s="41" t="e">
        <v>#N/A</v>
      </c>
      <c r="T114" s="41" t="e">
        <v>#N/A</v>
      </c>
      <c r="U114" s="41" t="e">
        <v>#N/A</v>
      </c>
      <c r="V114" s="41" t="e">
        <v>#N/A</v>
      </c>
      <c r="W114" s="41" t="e">
        <v>#N/A</v>
      </c>
      <c r="X114" s="41" t="e">
        <v>#N/A</v>
      </c>
      <c r="Y114" s="41" t="e">
        <v>#N/A</v>
      </c>
      <c r="Z114" s="41" t="e">
        <v>#N/A</v>
      </c>
      <c r="AA114" s="41" t="e">
        <v>#N/A</v>
      </c>
      <c r="AB114" s="133" t="e">
        <v>#N/A</v>
      </c>
      <c r="AC114" s="133" t="e">
        <v>#N/A</v>
      </c>
      <c r="AD114" s="133" t="e">
        <v>#N/A</v>
      </c>
      <c r="AE114" s="133" t="e">
        <v>#N/A</v>
      </c>
      <c r="AF114" s="133" t="e">
        <v>#N/A</v>
      </c>
      <c r="AG114" s="133" t="e">
        <v>#N/A</v>
      </c>
      <c r="AH114" s="41" t="e">
        <v>#N/A</v>
      </c>
      <c r="AI114" s="41" t="e">
        <v>#N/A</v>
      </c>
      <c r="AJ114" s="41" t="e">
        <v>#N/A</v>
      </c>
      <c r="AK114" s="41" t="e">
        <v>#N/A</v>
      </c>
      <c r="AL114" s="41" t="e">
        <v>#N/A</v>
      </c>
      <c r="AM114" s="41" t="e">
        <v>#N/A</v>
      </c>
      <c r="AN114" s="41" t="e">
        <v>#N/A</v>
      </c>
      <c r="AO114" s="41" t="e">
        <v>#N/A</v>
      </c>
      <c r="AP114" s="41" t="e">
        <v>#N/A</v>
      </c>
      <c r="AQ114" s="41" t="e">
        <v>#N/A</v>
      </c>
      <c r="AR114" s="41" t="e">
        <v>#N/A</v>
      </c>
      <c r="AS114" s="41" t="e">
        <v>#N/A</v>
      </c>
      <c r="AT114" s="41" t="e">
        <v>#N/A</v>
      </c>
      <c r="AU114" s="41" t="e">
        <v>#N/A</v>
      </c>
      <c r="AV114" s="41" t="e">
        <v>#N/A</v>
      </c>
      <c r="AW114" s="41" t="e">
        <v>#N/A</v>
      </c>
      <c r="AX114" s="41" t="e">
        <v>#N/A</v>
      </c>
      <c r="AY114" s="41" t="e">
        <v>#N/A</v>
      </c>
      <c r="AZ114" s="41" t="e">
        <v>#N/A</v>
      </c>
      <c r="BA114" s="41" t="e">
        <v>#N/A</v>
      </c>
      <c r="BB114" s="41" t="e">
        <v>#N/A</v>
      </c>
      <c r="BC114" s="41" t="e">
        <v>#N/A</v>
      </c>
      <c r="BD114" s="41" t="e">
        <v>#N/A</v>
      </c>
      <c r="BE114" s="41" t="e">
        <v>#N/A</v>
      </c>
      <c r="BF114" s="41" t="e">
        <v>#N/A</v>
      </c>
      <c r="BG114" s="41" t="e">
        <v>#N/A</v>
      </c>
      <c r="BH114" s="41" t="e">
        <v>#N/A</v>
      </c>
      <c r="BI114" s="41" t="e">
        <v>#N/A</v>
      </c>
      <c r="BJ114" s="41" t="e">
        <v>#N/A</v>
      </c>
      <c r="BK114" s="41" t="e">
        <v>#N/A</v>
      </c>
      <c r="BL114" s="41" t="e">
        <v>#N/A</v>
      </c>
      <c r="BM114" s="41" t="e">
        <v>#N/A</v>
      </c>
      <c r="BN114" s="41" t="e">
        <v>#N/A</v>
      </c>
      <c r="BO114" s="41" t="e">
        <v>#N/A</v>
      </c>
      <c r="BP114" s="41" t="e">
        <v>#N/A</v>
      </c>
      <c r="BQ114" s="41" t="e">
        <v>#N/A</v>
      </c>
      <c r="BR114" s="41" t="e">
        <v>#N/A</v>
      </c>
      <c r="BS114" s="41" t="e">
        <v>#N/A</v>
      </c>
      <c r="BT114" s="41" t="e">
        <v>#N/A</v>
      </c>
      <c r="BU114" s="41" t="e">
        <v>#N/A</v>
      </c>
      <c r="BV114" s="41" t="e">
        <v>#N/A</v>
      </c>
      <c r="BW114" s="41" t="e">
        <v>#N/A</v>
      </c>
      <c r="BX114" s="41" t="e">
        <v>#N/A</v>
      </c>
      <c r="BY114" s="41" t="e">
        <v>#N/A</v>
      </c>
      <c r="BZ114" s="41" t="e">
        <v>#N/A</v>
      </c>
      <c r="CA114" s="41" t="e">
        <v>#N/A</v>
      </c>
      <c r="CB114" s="41" t="e">
        <v>#N/A</v>
      </c>
      <c r="CC114" s="41" t="e">
        <v>#N/A</v>
      </c>
      <c r="CD114" s="41" t="e">
        <v>#N/A</v>
      </c>
      <c r="CE114" s="41" t="e">
        <v>#N/A</v>
      </c>
      <c r="CF114" s="41" t="e">
        <v>#N/A</v>
      </c>
      <c r="CG114" s="41" t="e">
        <v>#N/A</v>
      </c>
      <c r="CH114" s="41" t="e">
        <v>#N/A</v>
      </c>
      <c r="CI114" s="41" t="e">
        <v>#N/A</v>
      </c>
      <c r="CJ114" s="41" t="e">
        <v>#N/A</v>
      </c>
      <c r="CK114" s="41" t="e">
        <v>#N/A</v>
      </c>
      <c r="CL114" s="41" t="e">
        <v>#N/A</v>
      </c>
      <c r="CM114" s="41" t="e">
        <v>#N/A</v>
      </c>
      <c r="CN114" s="41" t="e">
        <v>#N/A</v>
      </c>
      <c r="CO114" s="58" t="e">
        <v>#N/A</v>
      </c>
      <c r="CP114" s="41" t="e">
        <v>#N/A</v>
      </c>
      <c r="CQ114" s="41" t="e">
        <v>#N/A</v>
      </c>
      <c r="CR114" s="41" t="e">
        <v>#N/A</v>
      </c>
      <c r="CS114" s="41" t="e">
        <v>#N/A</v>
      </c>
      <c r="CT114" s="41" t="e">
        <v>#N/A</v>
      </c>
      <c r="CU114" s="41" t="e">
        <v>#N/A</v>
      </c>
      <c r="CV114" s="41" t="e">
        <v>#N/A</v>
      </c>
      <c r="CW114" s="41" t="e">
        <v>#N/A</v>
      </c>
      <c r="CX114" s="41" t="e">
        <v>#N/A</v>
      </c>
      <c r="CY114" s="41" t="e">
        <v>#N/A</v>
      </c>
      <c r="CZ114" s="41" t="e">
        <v>#N/A</v>
      </c>
      <c r="DA114" s="41" t="e">
        <v>#N/A</v>
      </c>
      <c r="DB114" s="41" t="e">
        <v>#N/A</v>
      </c>
      <c r="DC114" s="41" t="e">
        <v>#N/A</v>
      </c>
      <c r="DD114" s="41" t="e">
        <v>#N/A</v>
      </c>
      <c r="DE114" s="41" t="e">
        <v>#N/A</v>
      </c>
      <c r="DF114" s="133" t="e">
        <v>#N/A</v>
      </c>
      <c r="DG114" s="41" t="e">
        <v>#N/A</v>
      </c>
      <c r="DH114" s="41" t="e">
        <v>#N/A</v>
      </c>
      <c r="DI114" s="41" t="e">
        <v>#N/A</v>
      </c>
      <c r="DJ114" s="41" t="e">
        <v>#N/A</v>
      </c>
      <c r="DK114" s="41" t="e">
        <v>#N/A</v>
      </c>
      <c r="DL114" s="41" t="e">
        <v>#N/A</v>
      </c>
      <c r="DM114" s="39" t="e">
        <f t="shared" si="2"/>
        <v>#N/A</v>
      </c>
      <c r="DN114" s="41" t="e">
        <v>#N/A</v>
      </c>
    </row>
    <row r="115" spans="1:118" ht="15.75" customHeight="1" x14ac:dyDescent="0.25">
      <c r="A115" s="37">
        <v>110</v>
      </c>
      <c r="C115" s="140">
        <v>7435</v>
      </c>
      <c r="D115" s="133" t="e">
        <v>#N/A</v>
      </c>
      <c r="E115" s="41" t="e">
        <v>#N/A</v>
      </c>
      <c r="F115" s="133" t="e">
        <v>#N/A</v>
      </c>
      <c r="G115" s="133" t="e">
        <v>#N/A</v>
      </c>
      <c r="H115" s="133" t="e">
        <v>#N/A</v>
      </c>
      <c r="I115" s="41" t="e">
        <v>#N/A</v>
      </c>
      <c r="J115" s="133" t="e">
        <v>#N/A</v>
      </c>
      <c r="K115" s="133" t="e">
        <v>#N/A</v>
      </c>
      <c r="L115" s="133" t="e">
        <v>#N/A</v>
      </c>
      <c r="M115" s="133" t="e">
        <v>#N/A</v>
      </c>
      <c r="N115" s="133" t="e">
        <v>#N/A</v>
      </c>
      <c r="O115" s="133" t="e">
        <v>#N/A</v>
      </c>
      <c r="P115" s="133" t="e">
        <v>#N/A</v>
      </c>
      <c r="Q115" s="133" t="e">
        <v>#N/A</v>
      </c>
      <c r="R115" s="41" t="e">
        <v>#N/A</v>
      </c>
      <c r="S115" s="41" t="e">
        <v>#N/A</v>
      </c>
      <c r="T115" s="41" t="e">
        <v>#N/A</v>
      </c>
      <c r="U115" s="41" t="e">
        <v>#N/A</v>
      </c>
      <c r="V115" s="41" t="e">
        <v>#N/A</v>
      </c>
      <c r="W115" s="41" t="e">
        <v>#N/A</v>
      </c>
      <c r="X115" s="41" t="e">
        <v>#N/A</v>
      </c>
      <c r="Y115" s="41" t="e">
        <v>#N/A</v>
      </c>
      <c r="Z115" s="41" t="e">
        <v>#N/A</v>
      </c>
      <c r="AA115" s="41" t="e">
        <v>#N/A</v>
      </c>
      <c r="AB115" s="133" t="e">
        <v>#N/A</v>
      </c>
      <c r="AC115" s="133" t="e">
        <v>#N/A</v>
      </c>
      <c r="AD115" s="133" t="e">
        <v>#N/A</v>
      </c>
      <c r="AE115" s="133" t="e">
        <v>#N/A</v>
      </c>
      <c r="AF115" s="133" t="e">
        <v>#N/A</v>
      </c>
      <c r="AG115" s="133" t="e">
        <v>#N/A</v>
      </c>
      <c r="AH115" s="41" t="e">
        <v>#N/A</v>
      </c>
      <c r="AI115" s="41" t="e">
        <v>#N/A</v>
      </c>
      <c r="AJ115" s="41" t="e">
        <v>#N/A</v>
      </c>
      <c r="AK115" s="41" t="e">
        <v>#N/A</v>
      </c>
      <c r="AL115" s="41" t="e">
        <v>#N/A</v>
      </c>
      <c r="AM115" s="41" t="e">
        <v>#N/A</v>
      </c>
      <c r="AN115" s="41" t="e">
        <v>#N/A</v>
      </c>
      <c r="AO115" s="41" t="e">
        <v>#N/A</v>
      </c>
      <c r="AP115" s="41" t="e">
        <v>#N/A</v>
      </c>
      <c r="AQ115" s="41" t="e">
        <v>#N/A</v>
      </c>
      <c r="AR115" s="41" t="e">
        <v>#N/A</v>
      </c>
      <c r="AS115" s="41" t="e">
        <v>#N/A</v>
      </c>
      <c r="AT115" s="41" t="e">
        <v>#N/A</v>
      </c>
      <c r="AU115" s="41" t="e">
        <v>#N/A</v>
      </c>
      <c r="AV115" s="41" t="e">
        <v>#N/A</v>
      </c>
      <c r="AW115" s="41" t="e">
        <v>#N/A</v>
      </c>
      <c r="AX115" s="41" t="e">
        <v>#N/A</v>
      </c>
      <c r="AY115" s="41" t="e">
        <v>#N/A</v>
      </c>
      <c r="AZ115" s="41" t="e">
        <v>#N/A</v>
      </c>
      <c r="BA115" s="41" t="e">
        <v>#N/A</v>
      </c>
      <c r="BB115" s="41" t="e">
        <v>#N/A</v>
      </c>
      <c r="BC115" s="41" t="e">
        <v>#N/A</v>
      </c>
      <c r="BD115" s="41" t="e">
        <v>#N/A</v>
      </c>
      <c r="BE115" s="41" t="e">
        <v>#N/A</v>
      </c>
      <c r="BF115" s="41" t="e">
        <v>#N/A</v>
      </c>
      <c r="BG115" s="41" t="e">
        <v>#N/A</v>
      </c>
      <c r="BH115" s="41" t="e">
        <v>#N/A</v>
      </c>
      <c r="BI115" s="41" t="e">
        <v>#N/A</v>
      </c>
      <c r="BJ115" s="41" t="e">
        <v>#N/A</v>
      </c>
      <c r="BK115" s="41" t="e">
        <v>#N/A</v>
      </c>
      <c r="BL115" s="41" t="e">
        <v>#N/A</v>
      </c>
      <c r="BM115" s="41" t="e">
        <v>#N/A</v>
      </c>
      <c r="BN115" s="41" t="e">
        <v>#N/A</v>
      </c>
      <c r="BO115" s="41" t="e">
        <v>#N/A</v>
      </c>
      <c r="BP115" s="41" t="e">
        <v>#N/A</v>
      </c>
      <c r="BQ115" s="41" t="e">
        <v>#N/A</v>
      </c>
      <c r="BR115" s="41" t="e">
        <v>#N/A</v>
      </c>
      <c r="BS115" s="41" t="e">
        <v>#N/A</v>
      </c>
      <c r="BT115" s="41" t="e">
        <v>#N/A</v>
      </c>
      <c r="BU115" s="41" t="e">
        <v>#N/A</v>
      </c>
      <c r="BV115" s="41" t="e">
        <v>#N/A</v>
      </c>
      <c r="BW115" s="41" t="e">
        <v>#N/A</v>
      </c>
      <c r="BX115" s="41" t="e">
        <v>#N/A</v>
      </c>
      <c r="BY115" s="41" t="e">
        <v>#N/A</v>
      </c>
      <c r="BZ115" s="41" t="e">
        <v>#N/A</v>
      </c>
      <c r="CA115" s="41" t="e">
        <v>#N/A</v>
      </c>
      <c r="CB115" s="41" t="e">
        <v>#N/A</v>
      </c>
      <c r="CC115" s="41" t="e">
        <v>#N/A</v>
      </c>
      <c r="CD115" s="41" t="e">
        <v>#N/A</v>
      </c>
      <c r="CE115" s="41" t="e">
        <v>#N/A</v>
      </c>
      <c r="CF115" s="41" t="e">
        <v>#N/A</v>
      </c>
      <c r="CG115" s="41" t="e">
        <v>#N/A</v>
      </c>
      <c r="CH115" s="41" t="e">
        <v>#N/A</v>
      </c>
      <c r="CI115" s="41" t="e">
        <v>#N/A</v>
      </c>
      <c r="CJ115" s="41" t="e">
        <v>#N/A</v>
      </c>
      <c r="CK115" s="41" t="e">
        <v>#N/A</v>
      </c>
      <c r="CL115" s="41" t="e">
        <v>#N/A</v>
      </c>
      <c r="CM115" s="41" t="e">
        <v>#N/A</v>
      </c>
      <c r="CN115" s="41" t="e">
        <v>#N/A</v>
      </c>
      <c r="CO115" s="58" t="e">
        <v>#N/A</v>
      </c>
      <c r="CP115" s="41" t="e">
        <v>#N/A</v>
      </c>
      <c r="CQ115" s="41" t="e">
        <v>#N/A</v>
      </c>
      <c r="CR115" s="41" t="e">
        <v>#N/A</v>
      </c>
      <c r="CS115" s="41" t="e">
        <v>#N/A</v>
      </c>
      <c r="CT115" s="41" t="e">
        <v>#N/A</v>
      </c>
      <c r="CU115" s="41" t="e">
        <v>#N/A</v>
      </c>
      <c r="CV115" s="41" t="e">
        <v>#N/A</v>
      </c>
      <c r="CW115" s="41" t="e">
        <v>#N/A</v>
      </c>
      <c r="CX115" s="41" t="e">
        <v>#N/A</v>
      </c>
      <c r="CY115" s="41" t="e">
        <v>#N/A</v>
      </c>
      <c r="CZ115" s="41" t="e">
        <v>#N/A</v>
      </c>
      <c r="DA115" s="41" t="e">
        <v>#N/A</v>
      </c>
      <c r="DB115" s="41" t="e">
        <v>#N/A</v>
      </c>
      <c r="DC115" s="41" t="e">
        <v>#N/A</v>
      </c>
      <c r="DD115" s="41" t="e">
        <v>#N/A</v>
      </c>
      <c r="DE115" s="41" t="e">
        <v>#N/A</v>
      </c>
      <c r="DF115" s="133" t="e">
        <v>#N/A</v>
      </c>
      <c r="DG115" s="41" t="e">
        <v>#N/A</v>
      </c>
      <c r="DH115" s="41" t="e">
        <v>#N/A</v>
      </c>
      <c r="DI115" s="41" t="e">
        <v>#N/A</v>
      </c>
      <c r="DJ115" s="41" t="e">
        <v>#N/A</v>
      </c>
      <c r="DK115" s="41" t="e">
        <v>#N/A</v>
      </c>
      <c r="DL115" s="41" t="e">
        <v>#N/A</v>
      </c>
      <c r="DM115" s="39" t="e">
        <f t="shared" si="2"/>
        <v>#N/A</v>
      </c>
      <c r="DN115" s="41" t="e">
        <v>#N/A</v>
      </c>
    </row>
    <row r="116" spans="1:118" ht="15.75" customHeight="1" x14ac:dyDescent="0.25">
      <c r="A116" s="37">
        <v>111</v>
      </c>
      <c r="C116" s="140">
        <v>7350</v>
      </c>
      <c r="D116" s="133" t="e">
        <v>#N/A</v>
      </c>
      <c r="E116" s="41" t="e">
        <v>#N/A</v>
      </c>
      <c r="F116" s="133" t="e">
        <v>#N/A</v>
      </c>
      <c r="G116" s="133" t="e">
        <v>#N/A</v>
      </c>
      <c r="H116" s="133" t="e">
        <v>#N/A</v>
      </c>
      <c r="I116" s="41" t="e">
        <v>#N/A</v>
      </c>
      <c r="J116" s="133" t="e">
        <v>#N/A</v>
      </c>
      <c r="K116" s="133" t="e">
        <v>#N/A</v>
      </c>
      <c r="L116" s="133" t="e">
        <v>#N/A</v>
      </c>
      <c r="M116" s="133" t="e">
        <v>#N/A</v>
      </c>
      <c r="N116" s="133" t="e">
        <v>#N/A</v>
      </c>
      <c r="O116" s="133" t="e">
        <v>#N/A</v>
      </c>
      <c r="P116" s="133" t="e">
        <v>#N/A</v>
      </c>
      <c r="Q116" s="133" t="e">
        <v>#N/A</v>
      </c>
      <c r="R116" s="41" t="e">
        <v>#N/A</v>
      </c>
      <c r="S116" s="41" t="e">
        <v>#N/A</v>
      </c>
      <c r="T116" s="41" t="e">
        <v>#N/A</v>
      </c>
      <c r="U116" s="41" t="e">
        <v>#N/A</v>
      </c>
      <c r="V116" s="41" t="e">
        <v>#N/A</v>
      </c>
      <c r="W116" s="41" t="e">
        <v>#N/A</v>
      </c>
      <c r="X116" s="41" t="e">
        <v>#N/A</v>
      </c>
      <c r="Y116" s="41" t="e">
        <v>#N/A</v>
      </c>
      <c r="Z116" s="41" t="e">
        <v>#N/A</v>
      </c>
      <c r="AA116" s="41" t="e">
        <v>#N/A</v>
      </c>
      <c r="AB116" s="133" t="e">
        <v>#N/A</v>
      </c>
      <c r="AC116" s="133" t="e">
        <v>#N/A</v>
      </c>
      <c r="AD116" s="133" t="e">
        <v>#N/A</v>
      </c>
      <c r="AE116" s="133" t="e">
        <v>#N/A</v>
      </c>
      <c r="AF116" s="133" t="e">
        <v>#N/A</v>
      </c>
      <c r="AG116" s="133" t="e">
        <v>#N/A</v>
      </c>
      <c r="AH116" s="41" t="e">
        <v>#N/A</v>
      </c>
      <c r="AI116" s="41" t="e">
        <v>#N/A</v>
      </c>
      <c r="AJ116" s="41" t="e">
        <v>#N/A</v>
      </c>
      <c r="AK116" s="41" t="e">
        <v>#N/A</v>
      </c>
      <c r="AL116" s="41" t="e">
        <v>#N/A</v>
      </c>
      <c r="AM116" s="41" t="e">
        <v>#N/A</v>
      </c>
      <c r="AN116" s="41" t="e">
        <v>#N/A</v>
      </c>
      <c r="AO116" s="41" t="e">
        <v>#N/A</v>
      </c>
      <c r="AP116" s="41" t="e">
        <v>#N/A</v>
      </c>
      <c r="AQ116" s="41" t="e">
        <v>#N/A</v>
      </c>
      <c r="AR116" s="41" t="e">
        <v>#N/A</v>
      </c>
      <c r="AS116" s="41" t="e">
        <v>#N/A</v>
      </c>
      <c r="AT116" s="41" t="e">
        <v>#N/A</v>
      </c>
      <c r="AU116" s="41" t="e">
        <v>#N/A</v>
      </c>
      <c r="AV116" s="41" t="e">
        <v>#N/A</v>
      </c>
      <c r="AW116" s="41" t="e">
        <v>#N/A</v>
      </c>
      <c r="AX116" s="41" t="e">
        <v>#N/A</v>
      </c>
      <c r="AY116" s="41" t="e">
        <v>#N/A</v>
      </c>
      <c r="AZ116" s="41" t="e">
        <v>#N/A</v>
      </c>
      <c r="BA116" s="41" t="e">
        <v>#N/A</v>
      </c>
      <c r="BB116" s="41" t="e">
        <v>#N/A</v>
      </c>
      <c r="BC116" s="41" t="e">
        <v>#N/A</v>
      </c>
      <c r="BD116" s="41" t="e">
        <v>#N/A</v>
      </c>
      <c r="BE116" s="41" t="e">
        <v>#N/A</v>
      </c>
      <c r="BF116" s="41" t="e">
        <v>#N/A</v>
      </c>
      <c r="BG116" s="41" t="e">
        <v>#N/A</v>
      </c>
      <c r="BH116" s="41" t="e">
        <v>#N/A</v>
      </c>
      <c r="BI116" s="41" t="e">
        <v>#N/A</v>
      </c>
      <c r="BJ116" s="41" t="e">
        <v>#N/A</v>
      </c>
      <c r="BK116" s="41" t="e">
        <v>#N/A</v>
      </c>
      <c r="BL116" s="41" t="e">
        <v>#N/A</v>
      </c>
      <c r="BM116" s="41" t="e">
        <v>#N/A</v>
      </c>
      <c r="BN116" s="41" t="e">
        <v>#N/A</v>
      </c>
      <c r="BO116" s="41" t="e">
        <v>#N/A</v>
      </c>
      <c r="BP116" s="41" t="e">
        <v>#N/A</v>
      </c>
      <c r="BQ116" s="41" t="e">
        <v>#N/A</v>
      </c>
      <c r="BR116" s="41" t="e">
        <v>#N/A</v>
      </c>
      <c r="BS116" s="41" t="e">
        <v>#N/A</v>
      </c>
      <c r="BT116" s="41" t="e">
        <v>#N/A</v>
      </c>
      <c r="BU116" s="41" t="e">
        <v>#N/A</v>
      </c>
      <c r="BV116" s="41" t="e">
        <v>#N/A</v>
      </c>
      <c r="BW116" s="41" t="e">
        <v>#N/A</v>
      </c>
      <c r="BX116" s="41" t="e">
        <v>#N/A</v>
      </c>
      <c r="BY116" s="41" t="e">
        <v>#N/A</v>
      </c>
      <c r="BZ116" s="41" t="e">
        <v>#N/A</v>
      </c>
      <c r="CA116" s="41" t="e">
        <v>#N/A</v>
      </c>
      <c r="CB116" s="41" t="e">
        <v>#N/A</v>
      </c>
      <c r="CC116" s="41" t="e">
        <v>#N/A</v>
      </c>
      <c r="CD116" s="41" t="e">
        <v>#N/A</v>
      </c>
      <c r="CE116" s="41" t="e">
        <v>#N/A</v>
      </c>
      <c r="CF116" s="41" t="e">
        <v>#N/A</v>
      </c>
      <c r="CG116" s="41" t="e">
        <v>#N/A</v>
      </c>
      <c r="CH116" s="41" t="e">
        <v>#N/A</v>
      </c>
      <c r="CI116" s="41" t="e">
        <v>#N/A</v>
      </c>
      <c r="CJ116" s="41" t="e">
        <v>#N/A</v>
      </c>
      <c r="CK116" s="41" t="e">
        <v>#N/A</v>
      </c>
      <c r="CL116" s="41" t="e">
        <v>#N/A</v>
      </c>
      <c r="CM116" s="41" t="e">
        <v>#N/A</v>
      </c>
      <c r="CN116" s="41" t="e">
        <v>#N/A</v>
      </c>
      <c r="CO116" s="58" t="e">
        <v>#N/A</v>
      </c>
      <c r="CP116" s="41" t="e">
        <v>#N/A</v>
      </c>
      <c r="CQ116" s="41" t="e">
        <v>#N/A</v>
      </c>
      <c r="CR116" s="41" t="e">
        <v>#N/A</v>
      </c>
      <c r="CS116" s="41" t="e">
        <v>#N/A</v>
      </c>
      <c r="CT116" s="41" t="e">
        <v>#N/A</v>
      </c>
      <c r="CU116" s="41" t="e">
        <v>#N/A</v>
      </c>
      <c r="CV116" s="41" t="e">
        <v>#N/A</v>
      </c>
      <c r="CW116" s="41" t="e">
        <v>#N/A</v>
      </c>
      <c r="CX116" s="41" t="e">
        <v>#N/A</v>
      </c>
      <c r="CY116" s="41" t="e">
        <v>#N/A</v>
      </c>
      <c r="CZ116" s="41" t="e">
        <v>#N/A</v>
      </c>
      <c r="DA116" s="41" t="e">
        <v>#N/A</v>
      </c>
      <c r="DB116" s="41" t="e">
        <v>#N/A</v>
      </c>
      <c r="DC116" s="41" t="e">
        <v>#N/A</v>
      </c>
      <c r="DD116" s="41" t="e">
        <v>#N/A</v>
      </c>
      <c r="DE116" s="41" t="e">
        <v>#N/A</v>
      </c>
      <c r="DF116" s="133" t="e">
        <v>#N/A</v>
      </c>
      <c r="DG116" s="41" t="e">
        <v>#N/A</v>
      </c>
      <c r="DH116" s="41" t="e">
        <v>#N/A</v>
      </c>
      <c r="DI116" s="41" t="e">
        <v>#N/A</v>
      </c>
      <c r="DJ116" s="41" t="e">
        <v>#N/A</v>
      </c>
      <c r="DK116" s="41" t="e">
        <v>#N/A</v>
      </c>
      <c r="DL116" s="41" t="e">
        <v>#N/A</v>
      </c>
      <c r="DM116" s="39" t="e">
        <f t="shared" si="2"/>
        <v>#N/A</v>
      </c>
      <c r="DN116" s="41" t="e">
        <v>#N/A</v>
      </c>
    </row>
    <row r="117" spans="1:118" ht="15.75" customHeight="1" x14ac:dyDescent="0.25">
      <c r="A117" s="37">
        <v>112</v>
      </c>
      <c r="C117" s="140">
        <v>5405</v>
      </c>
      <c r="D117" s="133" t="e">
        <v>#N/A</v>
      </c>
      <c r="E117" s="41" t="e">
        <v>#N/A</v>
      </c>
      <c r="F117" s="133" t="e">
        <v>#N/A</v>
      </c>
      <c r="G117" s="133" t="e">
        <v>#N/A</v>
      </c>
      <c r="H117" s="133" t="e">
        <v>#N/A</v>
      </c>
      <c r="I117" s="41" t="e">
        <v>#N/A</v>
      </c>
      <c r="J117" s="133" t="e">
        <v>#N/A</v>
      </c>
      <c r="K117" s="133" t="e">
        <v>#N/A</v>
      </c>
      <c r="L117" s="133" t="e">
        <v>#N/A</v>
      </c>
      <c r="M117" s="133" t="e">
        <v>#N/A</v>
      </c>
      <c r="N117" s="133" t="e">
        <v>#N/A</v>
      </c>
      <c r="O117" s="133" t="e">
        <v>#N/A</v>
      </c>
      <c r="P117" s="133" t="e">
        <v>#N/A</v>
      </c>
      <c r="Q117" s="133" t="e">
        <v>#N/A</v>
      </c>
      <c r="R117" s="41" t="e">
        <v>#N/A</v>
      </c>
      <c r="S117" s="41" t="e">
        <v>#N/A</v>
      </c>
      <c r="T117" s="41" t="e">
        <v>#N/A</v>
      </c>
      <c r="U117" s="41" t="e">
        <v>#N/A</v>
      </c>
      <c r="V117" s="41" t="e">
        <v>#N/A</v>
      </c>
      <c r="W117" s="41" t="e">
        <v>#N/A</v>
      </c>
      <c r="X117" s="41" t="e">
        <v>#N/A</v>
      </c>
      <c r="Y117" s="41" t="e">
        <v>#N/A</v>
      </c>
      <c r="Z117" s="41" t="e">
        <v>#N/A</v>
      </c>
      <c r="AA117" s="41" t="e">
        <v>#N/A</v>
      </c>
      <c r="AB117" s="133" t="e">
        <v>#N/A</v>
      </c>
      <c r="AC117" s="133" t="e">
        <v>#N/A</v>
      </c>
      <c r="AD117" s="133" t="e">
        <v>#N/A</v>
      </c>
      <c r="AE117" s="133" t="e">
        <v>#N/A</v>
      </c>
      <c r="AF117" s="133" t="e">
        <v>#N/A</v>
      </c>
      <c r="AG117" s="133" t="e">
        <v>#N/A</v>
      </c>
      <c r="AH117" s="41" t="e">
        <v>#N/A</v>
      </c>
      <c r="AI117" s="41" t="e">
        <v>#N/A</v>
      </c>
      <c r="AJ117" s="41" t="e">
        <v>#N/A</v>
      </c>
      <c r="AK117" s="41" t="e">
        <v>#N/A</v>
      </c>
      <c r="AL117" s="41" t="e">
        <v>#N/A</v>
      </c>
      <c r="AM117" s="41" t="e">
        <v>#N/A</v>
      </c>
      <c r="AN117" s="41" t="e">
        <v>#N/A</v>
      </c>
      <c r="AO117" s="41" t="e">
        <v>#N/A</v>
      </c>
      <c r="AP117" s="41" t="e">
        <v>#N/A</v>
      </c>
      <c r="AQ117" s="41" t="e">
        <v>#N/A</v>
      </c>
      <c r="AR117" s="41" t="e">
        <v>#N/A</v>
      </c>
      <c r="AS117" s="41" t="e">
        <v>#N/A</v>
      </c>
      <c r="AT117" s="41" t="e">
        <v>#N/A</v>
      </c>
      <c r="AU117" s="41" t="e">
        <v>#N/A</v>
      </c>
      <c r="AV117" s="41" t="e">
        <v>#N/A</v>
      </c>
      <c r="AW117" s="41" t="e">
        <v>#N/A</v>
      </c>
      <c r="AX117" s="41" t="e">
        <v>#N/A</v>
      </c>
      <c r="AY117" s="41" t="e">
        <v>#N/A</v>
      </c>
      <c r="AZ117" s="41" t="e">
        <v>#N/A</v>
      </c>
      <c r="BA117" s="41" t="e">
        <v>#N/A</v>
      </c>
      <c r="BB117" s="41" t="e">
        <v>#N/A</v>
      </c>
      <c r="BC117" s="41" t="e">
        <v>#N/A</v>
      </c>
      <c r="BD117" s="41" t="e">
        <v>#N/A</v>
      </c>
      <c r="BE117" s="41" t="e">
        <v>#N/A</v>
      </c>
      <c r="BF117" s="41" t="e">
        <v>#N/A</v>
      </c>
      <c r="BG117" s="41" t="e">
        <v>#N/A</v>
      </c>
      <c r="BH117" s="41" t="e">
        <v>#N/A</v>
      </c>
      <c r="BI117" s="41" t="e">
        <v>#N/A</v>
      </c>
      <c r="BJ117" s="41" t="e">
        <v>#N/A</v>
      </c>
      <c r="BK117" s="41" t="e">
        <v>#N/A</v>
      </c>
      <c r="BL117" s="41" t="e">
        <v>#N/A</v>
      </c>
      <c r="BM117" s="41" t="e">
        <v>#N/A</v>
      </c>
      <c r="BN117" s="41" t="e">
        <v>#N/A</v>
      </c>
      <c r="BO117" s="41" t="e">
        <v>#N/A</v>
      </c>
      <c r="BP117" s="41" t="e">
        <v>#N/A</v>
      </c>
      <c r="BQ117" s="41" t="e">
        <v>#N/A</v>
      </c>
      <c r="BR117" s="41" t="e">
        <v>#N/A</v>
      </c>
      <c r="BS117" s="41" t="e">
        <v>#N/A</v>
      </c>
      <c r="BT117" s="41" t="e">
        <v>#N/A</v>
      </c>
      <c r="BU117" s="41" t="e">
        <v>#N/A</v>
      </c>
      <c r="BV117" s="41" t="e">
        <v>#N/A</v>
      </c>
      <c r="BW117" s="41" t="e">
        <v>#N/A</v>
      </c>
      <c r="BX117" s="41" t="e">
        <v>#N/A</v>
      </c>
      <c r="BY117" s="41" t="e">
        <v>#N/A</v>
      </c>
      <c r="BZ117" s="41" t="e">
        <v>#N/A</v>
      </c>
      <c r="CA117" s="41" t="e">
        <v>#N/A</v>
      </c>
      <c r="CB117" s="41" t="e">
        <v>#N/A</v>
      </c>
      <c r="CC117" s="41" t="e">
        <v>#N/A</v>
      </c>
      <c r="CD117" s="41" t="e">
        <v>#N/A</v>
      </c>
      <c r="CE117" s="41" t="e">
        <v>#N/A</v>
      </c>
      <c r="CF117" s="41" t="e">
        <v>#N/A</v>
      </c>
      <c r="CG117" s="41" t="e">
        <v>#N/A</v>
      </c>
      <c r="CH117" s="41" t="e">
        <v>#N/A</v>
      </c>
      <c r="CI117" s="41" t="e">
        <v>#N/A</v>
      </c>
      <c r="CJ117" s="41" t="e">
        <v>#N/A</v>
      </c>
      <c r="CK117" s="41" t="e">
        <v>#N/A</v>
      </c>
      <c r="CL117" s="41" t="e">
        <v>#N/A</v>
      </c>
      <c r="CM117" s="41" t="e">
        <v>#N/A</v>
      </c>
      <c r="CN117" s="41" t="e">
        <v>#N/A</v>
      </c>
      <c r="CO117" s="58" t="e">
        <v>#N/A</v>
      </c>
      <c r="CP117" s="41" t="e">
        <v>#N/A</v>
      </c>
      <c r="CQ117" s="41" t="e">
        <v>#N/A</v>
      </c>
      <c r="CR117" s="41" t="e">
        <v>#N/A</v>
      </c>
      <c r="CS117" s="41" t="e">
        <v>#N/A</v>
      </c>
      <c r="CT117" s="41" t="e">
        <v>#N/A</v>
      </c>
      <c r="CU117" s="41" t="e">
        <v>#N/A</v>
      </c>
      <c r="CV117" s="41" t="e">
        <v>#N/A</v>
      </c>
      <c r="CW117" s="41" t="e">
        <v>#N/A</v>
      </c>
      <c r="CX117" s="41" t="e">
        <v>#N/A</v>
      </c>
      <c r="CY117" s="41" t="e">
        <v>#N/A</v>
      </c>
      <c r="CZ117" s="41" t="e">
        <v>#N/A</v>
      </c>
      <c r="DA117" s="41" t="e">
        <v>#N/A</v>
      </c>
      <c r="DB117" s="41" t="e">
        <v>#N/A</v>
      </c>
      <c r="DC117" s="41" t="e">
        <v>#N/A</v>
      </c>
      <c r="DD117" s="41" t="e">
        <v>#N/A</v>
      </c>
      <c r="DE117" s="41" t="e">
        <v>#N/A</v>
      </c>
      <c r="DF117" s="133" t="e">
        <v>#N/A</v>
      </c>
      <c r="DG117" s="41" t="e">
        <v>#N/A</v>
      </c>
      <c r="DH117" s="41" t="e">
        <v>#N/A</v>
      </c>
      <c r="DI117" s="41" t="e">
        <v>#N/A</v>
      </c>
      <c r="DJ117" s="41" t="e">
        <v>#N/A</v>
      </c>
      <c r="DK117" s="41" t="e">
        <v>#N/A</v>
      </c>
      <c r="DL117" s="41" t="e">
        <v>#N/A</v>
      </c>
      <c r="DM117" s="39" t="e">
        <f t="shared" si="2"/>
        <v>#N/A</v>
      </c>
      <c r="DN117" s="41" t="e">
        <v>#N/A</v>
      </c>
    </row>
    <row r="118" spans="1:118" ht="15.75" customHeight="1" x14ac:dyDescent="0.25">
      <c r="A118" s="37">
        <v>113</v>
      </c>
      <c r="C118" s="140">
        <v>4728</v>
      </c>
      <c r="D118" s="133" t="e">
        <v>#N/A</v>
      </c>
      <c r="E118" s="41" t="e">
        <v>#N/A</v>
      </c>
      <c r="F118" s="133" t="e">
        <v>#N/A</v>
      </c>
      <c r="G118" s="133" t="e">
        <v>#N/A</v>
      </c>
      <c r="H118" s="133" t="e">
        <v>#N/A</v>
      </c>
      <c r="I118" s="41" t="e">
        <v>#N/A</v>
      </c>
      <c r="J118" s="133" t="e">
        <v>#N/A</v>
      </c>
      <c r="K118" s="133" t="e">
        <v>#N/A</v>
      </c>
      <c r="L118" s="133" t="e">
        <v>#N/A</v>
      </c>
      <c r="M118" s="133" t="e">
        <v>#N/A</v>
      </c>
      <c r="N118" s="133" t="e">
        <v>#N/A</v>
      </c>
      <c r="O118" s="133" t="e">
        <v>#N/A</v>
      </c>
      <c r="P118" s="133" t="e">
        <v>#N/A</v>
      </c>
      <c r="Q118" s="133" t="e">
        <v>#N/A</v>
      </c>
      <c r="R118" s="41" t="e">
        <v>#N/A</v>
      </c>
      <c r="S118" s="41" t="e">
        <v>#N/A</v>
      </c>
      <c r="T118" s="41" t="e">
        <v>#N/A</v>
      </c>
      <c r="U118" s="41" t="e">
        <v>#N/A</v>
      </c>
      <c r="V118" s="41" t="e">
        <v>#N/A</v>
      </c>
      <c r="W118" s="41" t="e">
        <v>#N/A</v>
      </c>
      <c r="X118" s="41" t="e">
        <v>#N/A</v>
      </c>
      <c r="Y118" s="41" t="e">
        <v>#N/A</v>
      </c>
      <c r="Z118" s="41" t="e">
        <v>#N/A</v>
      </c>
      <c r="AA118" s="41" t="e">
        <v>#N/A</v>
      </c>
      <c r="AB118" s="133" t="e">
        <v>#N/A</v>
      </c>
      <c r="AC118" s="133" t="e">
        <v>#N/A</v>
      </c>
      <c r="AD118" s="133" t="e">
        <v>#N/A</v>
      </c>
      <c r="AE118" s="133" t="e">
        <v>#N/A</v>
      </c>
      <c r="AF118" s="133" t="e">
        <v>#N/A</v>
      </c>
      <c r="AG118" s="133" t="e">
        <v>#N/A</v>
      </c>
      <c r="AH118" s="41" t="e">
        <v>#N/A</v>
      </c>
      <c r="AI118" s="41" t="e">
        <v>#N/A</v>
      </c>
      <c r="AJ118" s="41" t="e">
        <v>#N/A</v>
      </c>
      <c r="AK118" s="41" t="e">
        <v>#N/A</v>
      </c>
      <c r="AL118" s="41" t="e">
        <v>#N/A</v>
      </c>
      <c r="AM118" s="41" t="e">
        <v>#N/A</v>
      </c>
      <c r="AN118" s="41" t="e">
        <v>#N/A</v>
      </c>
      <c r="AO118" s="41" t="e">
        <v>#N/A</v>
      </c>
      <c r="AP118" s="41" t="e">
        <v>#N/A</v>
      </c>
      <c r="AQ118" s="41" t="e">
        <v>#N/A</v>
      </c>
      <c r="AR118" s="41" t="e">
        <v>#N/A</v>
      </c>
      <c r="AS118" s="41" t="e">
        <v>#N/A</v>
      </c>
      <c r="AT118" s="41" t="e">
        <v>#N/A</v>
      </c>
      <c r="AU118" s="41" t="e">
        <v>#N/A</v>
      </c>
      <c r="AV118" s="41" t="e">
        <v>#N/A</v>
      </c>
      <c r="AW118" s="41" t="e">
        <v>#N/A</v>
      </c>
      <c r="AX118" s="41" t="e">
        <v>#N/A</v>
      </c>
      <c r="AY118" s="41" t="e">
        <v>#N/A</v>
      </c>
      <c r="AZ118" s="41" t="e">
        <v>#N/A</v>
      </c>
      <c r="BA118" s="41" t="e">
        <v>#N/A</v>
      </c>
      <c r="BB118" s="41" t="e">
        <v>#N/A</v>
      </c>
      <c r="BC118" s="41" t="e">
        <v>#N/A</v>
      </c>
      <c r="BD118" s="41" t="e">
        <v>#N/A</v>
      </c>
      <c r="BE118" s="41" t="e">
        <v>#N/A</v>
      </c>
      <c r="BF118" s="41" t="e">
        <v>#N/A</v>
      </c>
      <c r="BG118" s="41" t="e">
        <v>#N/A</v>
      </c>
      <c r="BH118" s="41" t="e">
        <v>#N/A</v>
      </c>
      <c r="BI118" s="41" t="e">
        <v>#N/A</v>
      </c>
      <c r="BJ118" s="41" t="e">
        <v>#N/A</v>
      </c>
      <c r="BK118" s="41" t="e">
        <v>#N/A</v>
      </c>
      <c r="BL118" s="41" t="e">
        <v>#N/A</v>
      </c>
      <c r="BM118" s="41" t="e">
        <v>#N/A</v>
      </c>
      <c r="BN118" s="41" t="e">
        <v>#N/A</v>
      </c>
      <c r="BO118" s="41" t="e">
        <v>#N/A</v>
      </c>
      <c r="BP118" s="41" t="e">
        <v>#N/A</v>
      </c>
      <c r="BQ118" s="41" t="e">
        <v>#N/A</v>
      </c>
      <c r="BR118" s="41" t="e">
        <v>#N/A</v>
      </c>
      <c r="BS118" s="41" t="e">
        <v>#N/A</v>
      </c>
      <c r="BT118" s="41" t="e">
        <v>#N/A</v>
      </c>
      <c r="BU118" s="41" t="e">
        <v>#N/A</v>
      </c>
      <c r="BV118" s="41" t="e">
        <v>#N/A</v>
      </c>
      <c r="BW118" s="41" t="e">
        <v>#N/A</v>
      </c>
      <c r="BX118" s="41" t="e">
        <v>#N/A</v>
      </c>
      <c r="BY118" s="41" t="e">
        <v>#N/A</v>
      </c>
      <c r="BZ118" s="41" t="e">
        <v>#N/A</v>
      </c>
      <c r="CA118" s="41" t="e">
        <v>#N/A</v>
      </c>
      <c r="CB118" s="41" t="e">
        <v>#N/A</v>
      </c>
      <c r="CC118" s="41" t="e">
        <v>#N/A</v>
      </c>
      <c r="CD118" s="41" t="e">
        <v>#N/A</v>
      </c>
      <c r="CE118" s="41" t="e">
        <v>#N/A</v>
      </c>
      <c r="CF118" s="41" t="e">
        <v>#N/A</v>
      </c>
      <c r="CG118" s="41" t="e">
        <v>#N/A</v>
      </c>
      <c r="CH118" s="41" t="e">
        <v>#N/A</v>
      </c>
      <c r="CI118" s="41" t="e">
        <v>#N/A</v>
      </c>
      <c r="CJ118" s="41" t="e">
        <v>#N/A</v>
      </c>
      <c r="CK118" s="41" t="e">
        <v>#N/A</v>
      </c>
      <c r="CL118" s="41" t="e">
        <v>#N/A</v>
      </c>
      <c r="CM118" s="41" t="e">
        <v>#N/A</v>
      </c>
      <c r="CN118" s="41" t="e">
        <v>#N/A</v>
      </c>
      <c r="CO118" s="58" t="e">
        <v>#N/A</v>
      </c>
      <c r="CP118" s="41" t="e">
        <v>#N/A</v>
      </c>
      <c r="CQ118" s="41" t="e">
        <v>#N/A</v>
      </c>
      <c r="CR118" s="41" t="e">
        <v>#N/A</v>
      </c>
      <c r="CS118" s="41" t="e">
        <v>#N/A</v>
      </c>
      <c r="CT118" s="41" t="e">
        <v>#N/A</v>
      </c>
      <c r="CU118" s="41" t="e">
        <v>#N/A</v>
      </c>
      <c r="CV118" s="41" t="e">
        <v>#N/A</v>
      </c>
      <c r="CW118" s="41" t="e">
        <v>#N/A</v>
      </c>
      <c r="CX118" s="41" t="e">
        <v>#N/A</v>
      </c>
      <c r="CY118" s="41" t="e">
        <v>#N/A</v>
      </c>
      <c r="CZ118" s="41" t="e">
        <v>#N/A</v>
      </c>
      <c r="DA118" s="41" t="e">
        <v>#N/A</v>
      </c>
      <c r="DB118" s="41" t="e">
        <v>#N/A</v>
      </c>
      <c r="DC118" s="41" t="e">
        <v>#N/A</v>
      </c>
      <c r="DD118" s="41" t="e">
        <v>#N/A</v>
      </c>
      <c r="DE118" s="41" t="e">
        <v>#N/A</v>
      </c>
      <c r="DF118" s="133" t="e">
        <v>#N/A</v>
      </c>
      <c r="DG118" s="41" t="e">
        <v>#N/A</v>
      </c>
      <c r="DH118" s="41" t="e">
        <v>#N/A</v>
      </c>
      <c r="DI118" s="41" t="e">
        <v>#N/A</v>
      </c>
      <c r="DJ118" s="41" t="e">
        <v>#N/A</v>
      </c>
      <c r="DK118" s="41" t="e">
        <v>#N/A</v>
      </c>
      <c r="DL118" s="41" t="e">
        <v>#N/A</v>
      </c>
      <c r="DM118" s="39" t="e">
        <f t="shared" si="2"/>
        <v>#N/A</v>
      </c>
      <c r="DN118" s="41" t="e">
        <v>#N/A</v>
      </c>
    </row>
    <row r="119" spans="1:118" ht="15.75" customHeight="1" x14ac:dyDescent="0.25">
      <c r="A119" s="37">
        <v>114</v>
      </c>
      <c r="C119" s="140">
        <v>3830</v>
      </c>
      <c r="D119" s="133" t="e">
        <v>#N/A</v>
      </c>
      <c r="E119" s="41" t="e">
        <v>#N/A</v>
      </c>
      <c r="F119" s="133" t="e">
        <v>#N/A</v>
      </c>
      <c r="G119" s="133" t="e">
        <v>#N/A</v>
      </c>
      <c r="H119" s="133" t="e">
        <v>#N/A</v>
      </c>
      <c r="I119" s="41" t="e">
        <v>#N/A</v>
      </c>
      <c r="J119" s="133" t="e">
        <v>#N/A</v>
      </c>
      <c r="K119" s="133" t="e">
        <v>#N/A</v>
      </c>
      <c r="L119" s="133" t="e">
        <v>#N/A</v>
      </c>
      <c r="M119" s="133" t="e">
        <v>#N/A</v>
      </c>
      <c r="N119" s="133" t="e">
        <v>#N/A</v>
      </c>
      <c r="O119" s="133" t="e">
        <v>#N/A</v>
      </c>
      <c r="P119" s="133" t="e">
        <v>#N/A</v>
      </c>
      <c r="Q119" s="133" t="e">
        <v>#N/A</v>
      </c>
      <c r="R119" s="41" t="e">
        <v>#N/A</v>
      </c>
      <c r="S119" s="41" t="e">
        <v>#N/A</v>
      </c>
      <c r="T119" s="41" t="e">
        <v>#N/A</v>
      </c>
      <c r="U119" s="41" t="e">
        <v>#N/A</v>
      </c>
      <c r="V119" s="41" t="e">
        <v>#N/A</v>
      </c>
      <c r="W119" s="41" t="e">
        <v>#N/A</v>
      </c>
      <c r="X119" s="41" t="e">
        <v>#N/A</v>
      </c>
      <c r="Y119" s="41" t="e">
        <v>#N/A</v>
      </c>
      <c r="Z119" s="41" t="e">
        <v>#N/A</v>
      </c>
      <c r="AA119" s="41" t="e">
        <v>#N/A</v>
      </c>
      <c r="AB119" s="133" t="e">
        <v>#N/A</v>
      </c>
      <c r="AC119" s="133" t="e">
        <v>#N/A</v>
      </c>
      <c r="AD119" s="133" t="e">
        <v>#N/A</v>
      </c>
      <c r="AE119" s="133" t="e">
        <v>#N/A</v>
      </c>
      <c r="AF119" s="133" t="e">
        <v>#N/A</v>
      </c>
      <c r="AG119" s="133" t="e">
        <v>#N/A</v>
      </c>
      <c r="AH119" s="41" t="e">
        <v>#N/A</v>
      </c>
      <c r="AI119" s="41" t="e">
        <v>#N/A</v>
      </c>
      <c r="AJ119" s="41" t="e">
        <v>#N/A</v>
      </c>
      <c r="AK119" s="41" t="e">
        <v>#N/A</v>
      </c>
      <c r="AL119" s="41" t="e">
        <v>#N/A</v>
      </c>
      <c r="AM119" s="41" t="e">
        <v>#N/A</v>
      </c>
      <c r="AN119" s="41" t="e">
        <v>#N/A</v>
      </c>
      <c r="AO119" s="41" t="e">
        <v>#N/A</v>
      </c>
      <c r="AP119" s="41" t="e">
        <v>#N/A</v>
      </c>
      <c r="AQ119" s="41" t="e">
        <v>#N/A</v>
      </c>
      <c r="AR119" s="41" t="e">
        <v>#N/A</v>
      </c>
      <c r="AS119" s="41" t="e">
        <v>#N/A</v>
      </c>
      <c r="AT119" s="41" t="e">
        <v>#N/A</v>
      </c>
      <c r="AU119" s="41" t="e">
        <v>#N/A</v>
      </c>
      <c r="AV119" s="41" t="e">
        <v>#N/A</v>
      </c>
      <c r="AW119" s="41" t="e">
        <v>#N/A</v>
      </c>
      <c r="AX119" s="41" t="e">
        <v>#N/A</v>
      </c>
      <c r="AY119" s="41" t="e">
        <v>#N/A</v>
      </c>
      <c r="AZ119" s="41" t="e">
        <v>#N/A</v>
      </c>
      <c r="BA119" s="41" t="e">
        <v>#N/A</v>
      </c>
      <c r="BB119" s="41" t="e">
        <v>#N/A</v>
      </c>
      <c r="BC119" s="41" t="e">
        <v>#N/A</v>
      </c>
      <c r="BD119" s="41" t="e">
        <v>#N/A</v>
      </c>
      <c r="BE119" s="41" t="e">
        <v>#N/A</v>
      </c>
      <c r="BF119" s="41" t="e">
        <v>#N/A</v>
      </c>
      <c r="BG119" s="41" t="e">
        <v>#N/A</v>
      </c>
      <c r="BH119" s="41" t="e">
        <v>#N/A</v>
      </c>
      <c r="BI119" s="41" t="e">
        <v>#N/A</v>
      </c>
      <c r="BJ119" s="41" t="e">
        <v>#N/A</v>
      </c>
      <c r="BK119" s="41" t="e">
        <v>#N/A</v>
      </c>
      <c r="BL119" s="41" t="e">
        <v>#N/A</v>
      </c>
      <c r="BM119" s="41" t="e">
        <v>#N/A</v>
      </c>
      <c r="BN119" s="41" t="e">
        <v>#N/A</v>
      </c>
      <c r="BO119" s="41" t="e">
        <v>#N/A</v>
      </c>
      <c r="BP119" s="41" t="e">
        <v>#N/A</v>
      </c>
      <c r="BQ119" s="41" t="e">
        <v>#N/A</v>
      </c>
      <c r="BR119" s="41" t="e">
        <v>#N/A</v>
      </c>
      <c r="BS119" s="41" t="e">
        <v>#N/A</v>
      </c>
      <c r="BT119" s="41" t="e">
        <v>#N/A</v>
      </c>
      <c r="BU119" s="41" t="e">
        <v>#N/A</v>
      </c>
      <c r="BV119" s="41" t="e">
        <v>#N/A</v>
      </c>
      <c r="BW119" s="41" t="e">
        <v>#N/A</v>
      </c>
      <c r="BX119" s="41" t="e">
        <v>#N/A</v>
      </c>
      <c r="BY119" s="41" t="e">
        <v>#N/A</v>
      </c>
      <c r="BZ119" s="41" t="e">
        <v>#N/A</v>
      </c>
      <c r="CA119" s="41" t="e">
        <v>#N/A</v>
      </c>
      <c r="CB119" s="41" t="e">
        <v>#N/A</v>
      </c>
      <c r="CC119" s="41" t="e">
        <v>#N/A</v>
      </c>
      <c r="CD119" s="41" t="e">
        <v>#N/A</v>
      </c>
      <c r="CE119" s="41" t="e">
        <v>#N/A</v>
      </c>
      <c r="CF119" s="41" t="e">
        <v>#N/A</v>
      </c>
      <c r="CG119" s="41" t="e">
        <v>#N/A</v>
      </c>
      <c r="CH119" s="41" t="e">
        <v>#N/A</v>
      </c>
      <c r="CI119" s="41" t="e">
        <v>#N/A</v>
      </c>
      <c r="CJ119" s="41" t="e">
        <v>#N/A</v>
      </c>
      <c r="CK119" s="41" t="e">
        <v>#N/A</v>
      </c>
      <c r="CL119" s="41" t="e">
        <v>#N/A</v>
      </c>
      <c r="CM119" s="41" t="e">
        <v>#N/A</v>
      </c>
      <c r="CN119" s="41" t="e">
        <v>#N/A</v>
      </c>
      <c r="CO119" s="58" t="e">
        <v>#N/A</v>
      </c>
      <c r="CP119" s="41" t="e">
        <v>#N/A</v>
      </c>
      <c r="CQ119" s="41" t="e">
        <v>#N/A</v>
      </c>
      <c r="CR119" s="41" t="e">
        <v>#N/A</v>
      </c>
      <c r="CS119" s="41" t="e">
        <v>#N/A</v>
      </c>
      <c r="CT119" s="41" t="e">
        <v>#N/A</v>
      </c>
      <c r="CU119" s="41" t="e">
        <v>#N/A</v>
      </c>
      <c r="CV119" s="41" t="e">
        <v>#N/A</v>
      </c>
      <c r="CW119" s="41" t="e">
        <v>#N/A</v>
      </c>
      <c r="CX119" s="41" t="e">
        <v>#N/A</v>
      </c>
      <c r="CY119" s="41" t="e">
        <v>#N/A</v>
      </c>
      <c r="CZ119" s="41" t="e">
        <v>#N/A</v>
      </c>
      <c r="DA119" s="41" t="e">
        <v>#N/A</v>
      </c>
      <c r="DB119" s="41" t="e">
        <v>#N/A</v>
      </c>
      <c r="DC119" s="41" t="e">
        <v>#N/A</v>
      </c>
      <c r="DD119" s="41" t="e">
        <v>#N/A</v>
      </c>
      <c r="DE119" s="41" t="e">
        <v>#N/A</v>
      </c>
      <c r="DF119" s="133" t="e">
        <v>#N/A</v>
      </c>
      <c r="DG119" s="41" t="e">
        <v>#N/A</v>
      </c>
      <c r="DH119" s="41" t="e">
        <v>#N/A</v>
      </c>
      <c r="DI119" s="41" t="e">
        <v>#N/A</v>
      </c>
      <c r="DJ119" s="41" t="e">
        <v>#N/A</v>
      </c>
      <c r="DK119" s="41" t="e">
        <v>#N/A</v>
      </c>
      <c r="DL119" s="41" t="e">
        <v>#N/A</v>
      </c>
      <c r="DM119" s="39" t="e">
        <f t="shared" si="2"/>
        <v>#N/A</v>
      </c>
      <c r="DN119" s="41" t="e">
        <v>#N/A</v>
      </c>
    </row>
    <row r="120" spans="1:118" ht="15.75" customHeight="1" x14ac:dyDescent="0.25">
      <c r="A120" s="37">
        <v>115</v>
      </c>
      <c r="C120" s="140">
        <v>9269</v>
      </c>
      <c r="D120" s="133" t="e">
        <v>#N/A</v>
      </c>
      <c r="E120" s="41" t="e">
        <v>#N/A</v>
      </c>
      <c r="F120" s="133" t="e">
        <v>#N/A</v>
      </c>
      <c r="G120" s="133" t="e">
        <v>#N/A</v>
      </c>
      <c r="H120" s="133" t="e">
        <v>#N/A</v>
      </c>
      <c r="I120" s="41" t="e">
        <v>#N/A</v>
      </c>
      <c r="J120" s="133" t="e">
        <v>#N/A</v>
      </c>
      <c r="K120" s="133" t="e">
        <v>#N/A</v>
      </c>
      <c r="L120" s="133" t="e">
        <v>#N/A</v>
      </c>
      <c r="M120" s="133" t="e">
        <v>#N/A</v>
      </c>
      <c r="N120" s="133" t="e">
        <v>#N/A</v>
      </c>
      <c r="O120" s="133" t="e">
        <v>#N/A</v>
      </c>
      <c r="P120" s="133" t="e">
        <v>#N/A</v>
      </c>
      <c r="Q120" s="133" t="e">
        <v>#N/A</v>
      </c>
      <c r="R120" s="41" t="e">
        <v>#N/A</v>
      </c>
      <c r="S120" s="41" t="e">
        <v>#N/A</v>
      </c>
      <c r="T120" s="41" t="e">
        <v>#N/A</v>
      </c>
      <c r="U120" s="41" t="e">
        <v>#N/A</v>
      </c>
      <c r="V120" s="41" t="e">
        <v>#N/A</v>
      </c>
      <c r="W120" s="41" t="e">
        <v>#N/A</v>
      </c>
      <c r="X120" s="41" t="e">
        <v>#N/A</v>
      </c>
      <c r="Y120" s="41" t="e">
        <v>#N/A</v>
      </c>
      <c r="Z120" s="41" t="e">
        <v>#N/A</v>
      </c>
      <c r="AA120" s="41" t="e">
        <v>#N/A</v>
      </c>
      <c r="AB120" s="133" t="e">
        <v>#N/A</v>
      </c>
      <c r="AC120" s="133" t="e">
        <v>#N/A</v>
      </c>
      <c r="AD120" s="133" t="e">
        <v>#N/A</v>
      </c>
      <c r="AE120" s="133" t="e">
        <v>#N/A</v>
      </c>
      <c r="AF120" s="133" t="e">
        <v>#N/A</v>
      </c>
      <c r="AG120" s="133" t="e">
        <v>#N/A</v>
      </c>
      <c r="AH120" s="41" t="e">
        <v>#N/A</v>
      </c>
      <c r="AI120" s="41" t="e">
        <v>#N/A</v>
      </c>
      <c r="AJ120" s="41" t="e">
        <v>#N/A</v>
      </c>
      <c r="AK120" s="41" t="e">
        <v>#N/A</v>
      </c>
      <c r="AL120" s="41" t="e">
        <v>#N/A</v>
      </c>
      <c r="AM120" s="41" t="e">
        <v>#N/A</v>
      </c>
      <c r="AN120" s="41" t="e">
        <v>#N/A</v>
      </c>
      <c r="AO120" s="41" t="e">
        <v>#N/A</v>
      </c>
      <c r="AP120" s="41" t="e">
        <v>#N/A</v>
      </c>
      <c r="AQ120" s="41" t="e">
        <v>#N/A</v>
      </c>
      <c r="AR120" s="41" t="e">
        <v>#N/A</v>
      </c>
      <c r="AS120" s="41" t="e">
        <v>#N/A</v>
      </c>
      <c r="AT120" s="41" t="e">
        <v>#N/A</v>
      </c>
      <c r="AU120" s="41" t="e">
        <v>#N/A</v>
      </c>
      <c r="AV120" s="41" t="e">
        <v>#N/A</v>
      </c>
      <c r="AW120" s="41" t="e">
        <v>#N/A</v>
      </c>
      <c r="AX120" s="41" t="e">
        <v>#N/A</v>
      </c>
      <c r="AY120" s="41" t="e">
        <v>#N/A</v>
      </c>
      <c r="AZ120" s="41" t="e">
        <v>#N/A</v>
      </c>
      <c r="BA120" s="41" t="e">
        <v>#N/A</v>
      </c>
      <c r="BB120" s="41" t="e">
        <v>#N/A</v>
      </c>
      <c r="BC120" s="41" t="e">
        <v>#N/A</v>
      </c>
      <c r="BD120" s="41" t="e">
        <v>#N/A</v>
      </c>
      <c r="BE120" s="41" t="e">
        <v>#N/A</v>
      </c>
      <c r="BF120" s="41" t="e">
        <v>#N/A</v>
      </c>
      <c r="BG120" s="41" t="e">
        <v>#N/A</v>
      </c>
      <c r="BH120" s="41" t="e">
        <v>#N/A</v>
      </c>
      <c r="BI120" s="41" t="e">
        <v>#N/A</v>
      </c>
      <c r="BJ120" s="41" t="e">
        <v>#N/A</v>
      </c>
      <c r="BK120" s="41" t="e">
        <v>#N/A</v>
      </c>
      <c r="BL120" s="41" t="e">
        <v>#N/A</v>
      </c>
      <c r="BM120" s="41" t="e">
        <v>#N/A</v>
      </c>
      <c r="BN120" s="41" t="e">
        <v>#N/A</v>
      </c>
      <c r="BO120" s="41" t="e">
        <v>#N/A</v>
      </c>
      <c r="BP120" s="41" t="e">
        <v>#N/A</v>
      </c>
      <c r="BQ120" s="41" t="e">
        <v>#N/A</v>
      </c>
      <c r="BR120" s="41" t="e">
        <v>#N/A</v>
      </c>
      <c r="BS120" s="41" t="e">
        <v>#N/A</v>
      </c>
      <c r="BT120" s="41" t="e">
        <v>#N/A</v>
      </c>
      <c r="BU120" s="41" t="e">
        <v>#N/A</v>
      </c>
      <c r="BV120" s="41" t="e">
        <v>#N/A</v>
      </c>
      <c r="BW120" s="41" t="e">
        <v>#N/A</v>
      </c>
      <c r="BX120" s="41" t="e">
        <v>#N/A</v>
      </c>
      <c r="BY120" s="41" t="e">
        <v>#N/A</v>
      </c>
      <c r="BZ120" s="41" t="e">
        <v>#N/A</v>
      </c>
      <c r="CA120" s="41" t="e">
        <v>#N/A</v>
      </c>
      <c r="CB120" s="41" t="e">
        <v>#N/A</v>
      </c>
      <c r="CC120" s="41" t="e">
        <v>#N/A</v>
      </c>
      <c r="CD120" s="41" t="e">
        <v>#N/A</v>
      </c>
      <c r="CE120" s="41" t="e">
        <v>#N/A</v>
      </c>
      <c r="CF120" s="41" t="e">
        <v>#N/A</v>
      </c>
      <c r="CG120" s="41" t="e">
        <v>#N/A</v>
      </c>
      <c r="CH120" s="41" t="e">
        <v>#N/A</v>
      </c>
      <c r="CI120" s="41" t="e">
        <v>#N/A</v>
      </c>
      <c r="CJ120" s="41" t="e">
        <v>#N/A</v>
      </c>
      <c r="CK120" s="41" t="e">
        <v>#N/A</v>
      </c>
      <c r="CL120" s="41" t="e">
        <v>#N/A</v>
      </c>
      <c r="CM120" s="41" t="e">
        <v>#N/A</v>
      </c>
      <c r="CN120" s="41" t="e">
        <v>#N/A</v>
      </c>
      <c r="CO120" s="58" t="e">
        <v>#N/A</v>
      </c>
      <c r="CP120" s="41" t="e">
        <v>#N/A</v>
      </c>
      <c r="CQ120" s="41" t="e">
        <v>#N/A</v>
      </c>
      <c r="CR120" s="41" t="e">
        <v>#N/A</v>
      </c>
      <c r="CS120" s="41" t="e">
        <v>#N/A</v>
      </c>
      <c r="CT120" s="41" t="e">
        <v>#N/A</v>
      </c>
      <c r="CU120" s="41" t="e">
        <v>#N/A</v>
      </c>
      <c r="CV120" s="41" t="e">
        <v>#N/A</v>
      </c>
      <c r="CW120" s="41" t="e">
        <v>#N/A</v>
      </c>
      <c r="CX120" s="41" t="e">
        <v>#N/A</v>
      </c>
      <c r="CY120" s="41" t="e">
        <v>#N/A</v>
      </c>
      <c r="CZ120" s="41" t="e">
        <v>#N/A</v>
      </c>
      <c r="DA120" s="41" t="e">
        <v>#N/A</v>
      </c>
      <c r="DB120" s="41" t="e">
        <v>#N/A</v>
      </c>
      <c r="DC120" s="41" t="e">
        <v>#N/A</v>
      </c>
      <c r="DD120" s="41" t="e">
        <v>#N/A</v>
      </c>
      <c r="DE120" s="41" t="e">
        <v>#N/A</v>
      </c>
      <c r="DF120" s="133" t="e">
        <v>#N/A</v>
      </c>
      <c r="DG120" s="41" t="e">
        <v>#N/A</v>
      </c>
      <c r="DH120" s="41" t="e">
        <v>#N/A</v>
      </c>
      <c r="DI120" s="41" t="e">
        <v>#N/A</v>
      </c>
      <c r="DJ120" s="41" t="e">
        <v>#N/A</v>
      </c>
      <c r="DK120" s="41" t="e">
        <v>#N/A</v>
      </c>
      <c r="DL120" s="41" t="e">
        <v>#N/A</v>
      </c>
      <c r="DM120" s="39" t="e">
        <f t="shared" si="2"/>
        <v>#N/A</v>
      </c>
      <c r="DN120" s="41" t="e">
        <v>#N/A</v>
      </c>
    </row>
    <row r="121" spans="1:118" ht="15.75" customHeight="1" x14ac:dyDescent="0.25">
      <c r="A121" s="37">
        <v>116</v>
      </c>
      <c r="C121" s="140">
        <v>5563</v>
      </c>
      <c r="D121" s="133" t="e">
        <v>#N/A</v>
      </c>
      <c r="E121" s="41" t="e">
        <v>#N/A</v>
      </c>
      <c r="F121" s="133" t="e">
        <v>#N/A</v>
      </c>
      <c r="G121" s="133" t="e">
        <v>#N/A</v>
      </c>
      <c r="H121" s="133" t="e">
        <v>#N/A</v>
      </c>
      <c r="I121" s="41" t="e">
        <v>#N/A</v>
      </c>
      <c r="J121" s="133" t="e">
        <v>#N/A</v>
      </c>
      <c r="K121" s="133" t="e">
        <v>#N/A</v>
      </c>
      <c r="L121" s="133" t="e">
        <v>#N/A</v>
      </c>
      <c r="M121" s="133" t="e">
        <v>#N/A</v>
      </c>
      <c r="N121" s="133" t="e">
        <v>#N/A</v>
      </c>
      <c r="O121" s="133" t="e">
        <v>#N/A</v>
      </c>
      <c r="P121" s="133" t="e">
        <v>#N/A</v>
      </c>
      <c r="Q121" s="133" t="e">
        <v>#N/A</v>
      </c>
      <c r="R121" s="41" t="e">
        <v>#N/A</v>
      </c>
      <c r="S121" s="41" t="e">
        <v>#N/A</v>
      </c>
      <c r="T121" s="41" t="e">
        <v>#N/A</v>
      </c>
      <c r="U121" s="41" t="e">
        <v>#N/A</v>
      </c>
      <c r="V121" s="41" t="e">
        <v>#N/A</v>
      </c>
      <c r="W121" s="41" t="e">
        <v>#N/A</v>
      </c>
      <c r="X121" s="41" t="e">
        <v>#N/A</v>
      </c>
      <c r="Y121" s="41" t="e">
        <v>#N/A</v>
      </c>
      <c r="Z121" s="41" t="e">
        <v>#N/A</v>
      </c>
      <c r="AA121" s="41" t="e">
        <v>#N/A</v>
      </c>
      <c r="AB121" s="133" t="e">
        <v>#N/A</v>
      </c>
      <c r="AC121" s="133" t="e">
        <v>#N/A</v>
      </c>
      <c r="AD121" s="133" t="e">
        <v>#N/A</v>
      </c>
      <c r="AE121" s="133" t="e">
        <v>#N/A</v>
      </c>
      <c r="AF121" s="133" t="e">
        <v>#N/A</v>
      </c>
      <c r="AG121" s="133" t="e">
        <v>#N/A</v>
      </c>
      <c r="AH121" s="41" t="e">
        <v>#N/A</v>
      </c>
      <c r="AI121" s="41" t="e">
        <v>#N/A</v>
      </c>
      <c r="AJ121" s="41" t="e">
        <v>#N/A</v>
      </c>
      <c r="AK121" s="41" t="e">
        <v>#N/A</v>
      </c>
      <c r="AL121" s="41" t="e">
        <v>#N/A</v>
      </c>
      <c r="AM121" s="41" t="e">
        <v>#N/A</v>
      </c>
      <c r="AN121" s="41" t="e">
        <v>#N/A</v>
      </c>
      <c r="AO121" s="41" t="e">
        <v>#N/A</v>
      </c>
      <c r="AP121" s="41" t="e">
        <v>#N/A</v>
      </c>
      <c r="AQ121" s="41" t="e">
        <v>#N/A</v>
      </c>
      <c r="AR121" s="41" t="e">
        <v>#N/A</v>
      </c>
      <c r="AS121" s="41" t="e">
        <v>#N/A</v>
      </c>
      <c r="AT121" s="41" t="e">
        <v>#N/A</v>
      </c>
      <c r="AU121" s="41" t="e">
        <v>#N/A</v>
      </c>
      <c r="AV121" s="41" t="e">
        <v>#N/A</v>
      </c>
      <c r="AW121" s="41" t="e">
        <v>#N/A</v>
      </c>
      <c r="AX121" s="41" t="e">
        <v>#N/A</v>
      </c>
      <c r="AY121" s="41" t="e">
        <v>#N/A</v>
      </c>
      <c r="AZ121" s="41" t="e">
        <v>#N/A</v>
      </c>
      <c r="BA121" s="41" t="e">
        <v>#N/A</v>
      </c>
      <c r="BB121" s="41" t="e">
        <v>#N/A</v>
      </c>
      <c r="BC121" s="41" t="e">
        <v>#N/A</v>
      </c>
      <c r="BD121" s="41" t="e">
        <v>#N/A</v>
      </c>
      <c r="BE121" s="41" t="e">
        <v>#N/A</v>
      </c>
      <c r="BF121" s="41" t="e">
        <v>#N/A</v>
      </c>
      <c r="BG121" s="41" t="e">
        <v>#N/A</v>
      </c>
      <c r="BH121" s="41" t="e">
        <v>#N/A</v>
      </c>
      <c r="BI121" s="41" t="e">
        <v>#N/A</v>
      </c>
      <c r="BJ121" s="41" t="e">
        <v>#N/A</v>
      </c>
      <c r="BK121" s="41" t="e">
        <v>#N/A</v>
      </c>
      <c r="BL121" s="41" t="e">
        <v>#N/A</v>
      </c>
      <c r="BM121" s="41" t="e">
        <v>#N/A</v>
      </c>
      <c r="BN121" s="41" t="e">
        <v>#N/A</v>
      </c>
      <c r="BO121" s="41" t="e">
        <v>#N/A</v>
      </c>
      <c r="BP121" s="41" t="e">
        <v>#N/A</v>
      </c>
      <c r="BQ121" s="41" t="e">
        <v>#N/A</v>
      </c>
      <c r="BR121" s="41" t="e">
        <v>#N/A</v>
      </c>
      <c r="BS121" s="41" t="e">
        <v>#N/A</v>
      </c>
      <c r="BT121" s="41" t="e">
        <v>#N/A</v>
      </c>
      <c r="BU121" s="41" t="e">
        <v>#N/A</v>
      </c>
      <c r="BV121" s="41" t="e">
        <v>#N/A</v>
      </c>
      <c r="BW121" s="41" t="e">
        <v>#N/A</v>
      </c>
      <c r="BX121" s="41" t="e">
        <v>#N/A</v>
      </c>
      <c r="BY121" s="41" t="e">
        <v>#N/A</v>
      </c>
      <c r="BZ121" s="41" t="e">
        <v>#N/A</v>
      </c>
      <c r="CA121" s="41" t="e">
        <v>#N/A</v>
      </c>
      <c r="CB121" s="41" t="e">
        <v>#N/A</v>
      </c>
      <c r="CC121" s="41" t="e">
        <v>#N/A</v>
      </c>
      <c r="CD121" s="41" t="e">
        <v>#N/A</v>
      </c>
      <c r="CE121" s="41" t="e">
        <v>#N/A</v>
      </c>
      <c r="CF121" s="41" t="e">
        <v>#N/A</v>
      </c>
      <c r="CG121" s="41" t="e">
        <v>#N/A</v>
      </c>
      <c r="CH121" s="41" t="e">
        <v>#N/A</v>
      </c>
      <c r="CI121" s="41" t="e">
        <v>#N/A</v>
      </c>
      <c r="CJ121" s="41" t="e">
        <v>#N/A</v>
      </c>
      <c r="CK121" s="41" t="e">
        <v>#N/A</v>
      </c>
      <c r="CL121" s="41" t="e">
        <v>#N/A</v>
      </c>
      <c r="CM121" s="41" t="e">
        <v>#N/A</v>
      </c>
      <c r="CN121" s="41" t="e">
        <v>#N/A</v>
      </c>
      <c r="CO121" s="58" t="e">
        <v>#N/A</v>
      </c>
      <c r="CP121" s="41" t="e">
        <v>#N/A</v>
      </c>
      <c r="CQ121" s="41" t="e">
        <v>#N/A</v>
      </c>
      <c r="CR121" s="41" t="e">
        <v>#N/A</v>
      </c>
      <c r="CS121" s="41" t="e">
        <v>#N/A</v>
      </c>
      <c r="CT121" s="41" t="e">
        <v>#N/A</v>
      </c>
      <c r="CU121" s="41" t="e">
        <v>#N/A</v>
      </c>
      <c r="CV121" s="41" t="e">
        <v>#N/A</v>
      </c>
      <c r="CW121" s="41" t="e">
        <v>#N/A</v>
      </c>
      <c r="CX121" s="41" t="e">
        <v>#N/A</v>
      </c>
      <c r="CY121" s="41" t="e">
        <v>#N/A</v>
      </c>
      <c r="CZ121" s="41" t="e">
        <v>#N/A</v>
      </c>
      <c r="DA121" s="41" t="e">
        <v>#N/A</v>
      </c>
      <c r="DB121" s="41" t="e">
        <v>#N/A</v>
      </c>
      <c r="DC121" s="41" t="e">
        <v>#N/A</v>
      </c>
      <c r="DD121" s="41" t="e">
        <v>#N/A</v>
      </c>
      <c r="DE121" s="41" t="e">
        <v>#N/A</v>
      </c>
      <c r="DF121" s="133" t="e">
        <v>#N/A</v>
      </c>
      <c r="DG121" s="41" t="e">
        <v>#N/A</v>
      </c>
      <c r="DH121" s="41" t="e">
        <v>#N/A</v>
      </c>
      <c r="DI121" s="41" t="e">
        <v>#N/A</v>
      </c>
      <c r="DJ121" s="41" t="e">
        <v>#N/A</v>
      </c>
      <c r="DK121" s="41" t="e">
        <v>#N/A</v>
      </c>
      <c r="DL121" s="41" t="e">
        <v>#N/A</v>
      </c>
      <c r="DM121" s="39" t="e">
        <f t="shared" si="2"/>
        <v>#N/A</v>
      </c>
      <c r="DN121" s="41" t="e">
        <v>#N/A</v>
      </c>
    </row>
    <row r="122" spans="1:118" ht="15.75" customHeight="1" x14ac:dyDescent="0.25">
      <c r="A122" s="37">
        <v>117</v>
      </c>
      <c r="C122" s="140">
        <v>4552</v>
      </c>
      <c r="D122" s="133" t="e">
        <v>#N/A</v>
      </c>
      <c r="E122" s="41" t="e">
        <v>#N/A</v>
      </c>
      <c r="F122" s="133" t="e">
        <v>#N/A</v>
      </c>
      <c r="G122" s="133" t="e">
        <v>#N/A</v>
      </c>
      <c r="H122" s="133" t="e">
        <v>#N/A</v>
      </c>
      <c r="I122" s="41" t="e">
        <v>#N/A</v>
      </c>
      <c r="J122" s="133" t="e">
        <v>#N/A</v>
      </c>
      <c r="K122" s="133" t="e">
        <v>#N/A</v>
      </c>
      <c r="L122" s="133" t="e">
        <v>#N/A</v>
      </c>
      <c r="M122" s="133" t="e">
        <v>#N/A</v>
      </c>
      <c r="N122" s="133" t="e">
        <v>#N/A</v>
      </c>
      <c r="O122" s="133" t="e">
        <v>#N/A</v>
      </c>
      <c r="P122" s="133" t="e">
        <v>#N/A</v>
      </c>
      <c r="Q122" s="133" t="e">
        <v>#N/A</v>
      </c>
      <c r="R122" s="41" t="e">
        <v>#N/A</v>
      </c>
      <c r="S122" s="41" t="e">
        <v>#N/A</v>
      </c>
      <c r="T122" s="41" t="e">
        <v>#N/A</v>
      </c>
      <c r="U122" s="41" t="e">
        <v>#N/A</v>
      </c>
      <c r="V122" s="41" t="e">
        <v>#N/A</v>
      </c>
      <c r="W122" s="41" t="e">
        <v>#N/A</v>
      </c>
      <c r="X122" s="41" t="e">
        <v>#N/A</v>
      </c>
      <c r="Y122" s="41" t="e">
        <v>#N/A</v>
      </c>
      <c r="Z122" s="41" t="e">
        <v>#N/A</v>
      </c>
      <c r="AA122" s="41" t="e">
        <v>#N/A</v>
      </c>
      <c r="AB122" s="133" t="e">
        <v>#N/A</v>
      </c>
      <c r="AC122" s="133" t="e">
        <v>#N/A</v>
      </c>
      <c r="AD122" s="133" t="e">
        <v>#N/A</v>
      </c>
      <c r="AE122" s="133" t="e">
        <v>#N/A</v>
      </c>
      <c r="AF122" s="133" t="e">
        <v>#N/A</v>
      </c>
      <c r="AG122" s="133" t="e">
        <v>#N/A</v>
      </c>
      <c r="AH122" s="41" t="e">
        <v>#N/A</v>
      </c>
      <c r="AI122" s="41" t="e">
        <v>#N/A</v>
      </c>
      <c r="AJ122" s="41" t="e">
        <v>#N/A</v>
      </c>
      <c r="AK122" s="41" t="e">
        <v>#N/A</v>
      </c>
      <c r="AL122" s="41" t="e">
        <v>#N/A</v>
      </c>
      <c r="AM122" s="41" t="e">
        <v>#N/A</v>
      </c>
      <c r="AN122" s="41" t="e">
        <v>#N/A</v>
      </c>
      <c r="AO122" s="41" t="e">
        <v>#N/A</v>
      </c>
      <c r="AP122" s="41" t="e">
        <v>#N/A</v>
      </c>
      <c r="AQ122" s="41" t="e">
        <v>#N/A</v>
      </c>
      <c r="AR122" s="41" t="e">
        <v>#N/A</v>
      </c>
      <c r="AS122" s="41" t="e">
        <v>#N/A</v>
      </c>
      <c r="AT122" s="41" t="e">
        <v>#N/A</v>
      </c>
      <c r="AU122" s="41" t="e">
        <v>#N/A</v>
      </c>
      <c r="AV122" s="41" t="e">
        <v>#N/A</v>
      </c>
      <c r="AW122" s="41" t="e">
        <v>#N/A</v>
      </c>
      <c r="AX122" s="41" t="e">
        <v>#N/A</v>
      </c>
      <c r="AY122" s="41" t="e">
        <v>#N/A</v>
      </c>
      <c r="AZ122" s="41" t="e">
        <v>#N/A</v>
      </c>
      <c r="BA122" s="41" t="e">
        <v>#N/A</v>
      </c>
      <c r="BB122" s="41" t="e">
        <v>#N/A</v>
      </c>
      <c r="BC122" s="41" t="e">
        <v>#N/A</v>
      </c>
      <c r="BD122" s="41" t="e">
        <v>#N/A</v>
      </c>
      <c r="BE122" s="41" t="e">
        <v>#N/A</v>
      </c>
      <c r="BF122" s="41" t="e">
        <v>#N/A</v>
      </c>
      <c r="BG122" s="41" t="e">
        <v>#N/A</v>
      </c>
      <c r="BH122" s="41" t="e">
        <v>#N/A</v>
      </c>
      <c r="BI122" s="41" t="e">
        <v>#N/A</v>
      </c>
      <c r="BJ122" s="41" t="e">
        <v>#N/A</v>
      </c>
      <c r="BK122" s="41" t="e">
        <v>#N/A</v>
      </c>
      <c r="BL122" s="41" t="e">
        <v>#N/A</v>
      </c>
      <c r="BM122" s="41" t="e">
        <v>#N/A</v>
      </c>
      <c r="BN122" s="41" t="e">
        <v>#N/A</v>
      </c>
      <c r="BO122" s="41" t="e">
        <v>#N/A</v>
      </c>
      <c r="BP122" s="41" t="e">
        <v>#N/A</v>
      </c>
      <c r="BQ122" s="41" t="e">
        <v>#N/A</v>
      </c>
      <c r="BR122" s="41" t="e">
        <v>#N/A</v>
      </c>
      <c r="BS122" s="41" t="e">
        <v>#N/A</v>
      </c>
      <c r="BT122" s="41" t="e">
        <v>#N/A</v>
      </c>
      <c r="BU122" s="41" t="e">
        <v>#N/A</v>
      </c>
      <c r="BV122" s="41" t="e">
        <v>#N/A</v>
      </c>
      <c r="BW122" s="41" t="e">
        <v>#N/A</v>
      </c>
      <c r="BX122" s="41" t="e">
        <v>#N/A</v>
      </c>
      <c r="BY122" s="41" t="e">
        <v>#N/A</v>
      </c>
      <c r="BZ122" s="41" t="e">
        <v>#N/A</v>
      </c>
      <c r="CA122" s="41" t="e">
        <v>#N/A</v>
      </c>
      <c r="CB122" s="41" t="e">
        <v>#N/A</v>
      </c>
      <c r="CC122" s="41" t="e">
        <v>#N/A</v>
      </c>
      <c r="CD122" s="41" t="e">
        <v>#N/A</v>
      </c>
      <c r="CE122" s="41" t="e">
        <v>#N/A</v>
      </c>
      <c r="CF122" s="41" t="e">
        <v>#N/A</v>
      </c>
      <c r="CG122" s="41" t="e">
        <v>#N/A</v>
      </c>
      <c r="CH122" s="41" t="e">
        <v>#N/A</v>
      </c>
      <c r="CI122" s="41" t="e">
        <v>#N/A</v>
      </c>
      <c r="CJ122" s="41" t="e">
        <v>#N/A</v>
      </c>
      <c r="CK122" s="41" t="e">
        <v>#N/A</v>
      </c>
      <c r="CL122" s="41" t="e">
        <v>#N/A</v>
      </c>
      <c r="CM122" s="41" t="e">
        <v>#N/A</v>
      </c>
      <c r="CN122" s="41" t="e">
        <v>#N/A</v>
      </c>
      <c r="CO122" s="58" t="e">
        <v>#N/A</v>
      </c>
      <c r="CP122" s="41" t="e">
        <v>#N/A</v>
      </c>
      <c r="CQ122" s="41" t="e">
        <v>#N/A</v>
      </c>
      <c r="CR122" s="41" t="e">
        <v>#N/A</v>
      </c>
      <c r="CS122" s="41" t="e">
        <v>#N/A</v>
      </c>
      <c r="CT122" s="41" t="e">
        <v>#N/A</v>
      </c>
      <c r="CU122" s="41" t="e">
        <v>#N/A</v>
      </c>
      <c r="CV122" s="41" t="e">
        <v>#N/A</v>
      </c>
      <c r="CW122" s="41" t="e">
        <v>#N/A</v>
      </c>
      <c r="CX122" s="41" t="e">
        <v>#N/A</v>
      </c>
      <c r="CY122" s="41" t="e">
        <v>#N/A</v>
      </c>
      <c r="CZ122" s="41" t="e">
        <v>#N/A</v>
      </c>
      <c r="DA122" s="41" t="e">
        <v>#N/A</v>
      </c>
      <c r="DB122" s="41" t="e">
        <v>#N/A</v>
      </c>
      <c r="DC122" s="41" t="e">
        <v>#N/A</v>
      </c>
      <c r="DD122" s="41" t="e">
        <v>#N/A</v>
      </c>
      <c r="DE122" s="41" t="e">
        <v>#N/A</v>
      </c>
      <c r="DF122" s="133" t="e">
        <v>#N/A</v>
      </c>
      <c r="DG122" s="41" t="e">
        <v>#N/A</v>
      </c>
      <c r="DH122" s="41" t="e">
        <v>#N/A</v>
      </c>
      <c r="DI122" s="41" t="e">
        <v>#N/A</v>
      </c>
      <c r="DJ122" s="41" t="e">
        <v>#N/A</v>
      </c>
      <c r="DK122" s="41" t="e">
        <v>#N/A</v>
      </c>
      <c r="DL122" s="41" t="e">
        <v>#N/A</v>
      </c>
      <c r="DM122" s="39" t="e">
        <f t="shared" si="2"/>
        <v>#N/A</v>
      </c>
      <c r="DN122" s="41" t="e">
        <v>#N/A</v>
      </c>
    </row>
    <row r="123" spans="1:118" ht="15.75" customHeight="1" x14ac:dyDescent="0.25">
      <c r="A123" s="37">
        <v>118</v>
      </c>
      <c r="C123" s="140">
        <v>1211</v>
      </c>
      <c r="D123" s="133" t="e">
        <v>#N/A</v>
      </c>
      <c r="E123" s="41" t="e">
        <v>#N/A</v>
      </c>
      <c r="F123" s="133" t="e">
        <v>#N/A</v>
      </c>
      <c r="G123" s="133" t="e">
        <v>#N/A</v>
      </c>
      <c r="H123" s="133" t="e">
        <v>#N/A</v>
      </c>
      <c r="I123" s="41" t="e">
        <v>#N/A</v>
      </c>
      <c r="J123" s="133" t="e">
        <v>#N/A</v>
      </c>
      <c r="K123" s="133" t="e">
        <v>#N/A</v>
      </c>
      <c r="L123" s="133" t="e">
        <v>#N/A</v>
      </c>
      <c r="M123" s="133" t="e">
        <v>#N/A</v>
      </c>
      <c r="N123" s="133" t="e">
        <v>#N/A</v>
      </c>
      <c r="O123" s="133" t="e">
        <v>#N/A</v>
      </c>
      <c r="P123" s="133" t="e">
        <v>#N/A</v>
      </c>
      <c r="Q123" s="133" t="e">
        <v>#N/A</v>
      </c>
      <c r="R123" s="41" t="e">
        <v>#N/A</v>
      </c>
      <c r="S123" s="41" t="e">
        <v>#N/A</v>
      </c>
      <c r="T123" s="41" t="e">
        <v>#N/A</v>
      </c>
      <c r="U123" s="41" t="e">
        <v>#N/A</v>
      </c>
      <c r="V123" s="41" t="e">
        <v>#N/A</v>
      </c>
      <c r="W123" s="41" t="e">
        <v>#N/A</v>
      </c>
      <c r="X123" s="41" t="e">
        <v>#N/A</v>
      </c>
      <c r="Y123" s="41" t="e">
        <v>#N/A</v>
      </c>
      <c r="Z123" s="41" t="e">
        <v>#N/A</v>
      </c>
      <c r="AA123" s="41" t="e">
        <v>#N/A</v>
      </c>
      <c r="AB123" s="133" t="e">
        <v>#N/A</v>
      </c>
      <c r="AC123" s="133" t="e">
        <v>#N/A</v>
      </c>
      <c r="AD123" s="133" t="e">
        <v>#N/A</v>
      </c>
      <c r="AE123" s="133" t="e">
        <v>#N/A</v>
      </c>
      <c r="AF123" s="133" t="e">
        <v>#N/A</v>
      </c>
      <c r="AG123" s="133" t="e">
        <v>#N/A</v>
      </c>
      <c r="AH123" s="41" t="e">
        <v>#N/A</v>
      </c>
      <c r="AI123" s="41" t="e">
        <v>#N/A</v>
      </c>
      <c r="AJ123" s="41" t="e">
        <v>#N/A</v>
      </c>
      <c r="AK123" s="41" t="e">
        <v>#N/A</v>
      </c>
      <c r="AL123" s="41" t="e">
        <v>#N/A</v>
      </c>
      <c r="AM123" s="41" t="e">
        <v>#N/A</v>
      </c>
      <c r="AN123" s="41" t="e">
        <v>#N/A</v>
      </c>
      <c r="AO123" s="41" t="e">
        <v>#N/A</v>
      </c>
      <c r="AP123" s="41" t="e">
        <v>#N/A</v>
      </c>
      <c r="AQ123" s="41" t="e">
        <v>#N/A</v>
      </c>
      <c r="AR123" s="41" t="e">
        <v>#N/A</v>
      </c>
      <c r="AS123" s="41" t="e">
        <v>#N/A</v>
      </c>
      <c r="AT123" s="41" t="e">
        <v>#N/A</v>
      </c>
      <c r="AU123" s="41" t="e">
        <v>#N/A</v>
      </c>
      <c r="AV123" s="41" t="e">
        <v>#N/A</v>
      </c>
      <c r="AW123" s="41" t="e">
        <v>#N/A</v>
      </c>
      <c r="AX123" s="41" t="e">
        <v>#N/A</v>
      </c>
      <c r="AY123" s="41" t="e">
        <v>#N/A</v>
      </c>
      <c r="AZ123" s="41" t="e">
        <v>#N/A</v>
      </c>
      <c r="BA123" s="41" t="e">
        <v>#N/A</v>
      </c>
      <c r="BB123" s="41" t="e">
        <v>#N/A</v>
      </c>
      <c r="BC123" s="41" t="e">
        <v>#N/A</v>
      </c>
      <c r="BD123" s="41" t="e">
        <v>#N/A</v>
      </c>
      <c r="BE123" s="41" t="e">
        <v>#N/A</v>
      </c>
      <c r="BF123" s="41" t="e">
        <v>#N/A</v>
      </c>
      <c r="BG123" s="41" t="e">
        <v>#N/A</v>
      </c>
      <c r="BH123" s="41" t="e">
        <v>#N/A</v>
      </c>
      <c r="BI123" s="41" t="e">
        <v>#N/A</v>
      </c>
      <c r="BJ123" s="41" t="e">
        <v>#N/A</v>
      </c>
      <c r="BK123" s="41" t="e">
        <v>#N/A</v>
      </c>
      <c r="BL123" s="41" t="e">
        <v>#N/A</v>
      </c>
      <c r="BM123" s="41" t="e">
        <v>#N/A</v>
      </c>
      <c r="BN123" s="41" t="e">
        <v>#N/A</v>
      </c>
      <c r="BO123" s="41" t="e">
        <v>#N/A</v>
      </c>
      <c r="BP123" s="41" t="e">
        <v>#N/A</v>
      </c>
      <c r="BQ123" s="41" t="e">
        <v>#N/A</v>
      </c>
      <c r="BR123" s="41" t="e">
        <v>#N/A</v>
      </c>
      <c r="BS123" s="41" t="e">
        <v>#N/A</v>
      </c>
      <c r="BT123" s="41" t="e">
        <v>#N/A</v>
      </c>
      <c r="BU123" s="41" t="e">
        <v>#N/A</v>
      </c>
      <c r="BV123" s="41" t="e">
        <v>#N/A</v>
      </c>
      <c r="BW123" s="41" t="e">
        <v>#N/A</v>
      </c>
      <c r="BX123" s="41" t="e">
        <v>#N/A</v>
      </c>
      <c r="BY123" s="41" t="e">
        <v>#N/A</v>
      </c>
      <c r="BZ123" s="41" t="e">
        <v>#N/A</v>
      </c>
      <c r="CA123" s="41" t="e">
        <v>#N/A</v>
      </c>
      <c r="CB123" s="41" t="e">
        <v>#N/A</v>
      </c>
      <c r="CC123" s="41" t="e">
        <v>#N/A</v>
      </c>
      <c r="CD123" s="41" t="e">
        <v>#N/A</v>
      </c>
      <c r="CE123" s="41" t="e">
        <v>#N/A</v>
      </c>
      <c r="CF123" s="41" t="e">
        <v>#N/A</v>
      </c>
      <c r="CG123" s="41" t="e">
        <v>#N/A</v>
      </c>
      <c r="CH123" s="41" t="e">
        <v>#N/A</v>
      </c>
      <c r="CI123" s="41" t="e">
        <v>#N/A</v>
      </c>
      <c r="CJ123" s="41" t="e">
        <v>#N/A</v>
      </c>
      <c r="CK123" s="41" t="e">
        <v>#N/A</v>
      </c>
      <c r="CL123" s="41" t="e">
        <v>#N/A</v>
      </c>
      <c r="CM123" s="41" t="e">
        <v>#N/A</v>
      </c>
      <c r="CN123" s="41" t="e">
        <v>#N/A</v>
      </c>
      <c r="CO123" s="58" t="e">
        <v>#N/A</v>
      </c>
      <c r="CP123" s="41" t="e">
        <v>#N/A</v>
      </c>
      <c r="CQ123" s="41" t="e">
        <v>#N/A</v>
      </c>
      <c r="CR123" s="41" t="e">
        <v>#N/A</v>
      </c>
      <c r="CS123" s="41" t="e">
        <v>#N/A</v>
      </c>
      <c r="CT123" s="41" t="e">
        <v>#N/A</v>
      </c>
      <c r="CU123" s="41" t="e">
        <v>#N/A</v>
      </c>
      <c r="CV123" s="41" t="e">
        <v>#N/A</v>
      </c>
      <c r="CW123" s="41" t="e">
        <v>#N/A</v>
      </c>
      <c r="CX123" s="41" t="e">
        <v>#N/A</v>
      </c>
      <c r="CY123" s="41" t="e">
        <v>#N/A</v>
      </c>
      <c r="CZ123" s="41" t="e">
        <v>#N/A</v>
      </c>
      <c r="DA123" s="41" t="e">
        <v>#N/A</v>
      </c>
      <c r="DB123" s="41" t="e">
        <v>#N/A</v>
      </c>
      <c r="DC123" s="41" t="e">
        <v>#N/A</v>
      </c>
      <c r="DD123" s="41" t="e">
        <v>#N/A</v>
      </c>
      <c r="DE123" s="41" t="e">
        <v>#N/A</v>
      </c>
      <c r="DF123" s="133" t="e">
        <v>#N/A</v>
      </c>
      <c r="DG123" s="41" t="e">
        <v>#N/A</v>
      </c>
      <c r="DH123" s="41" t="e">
        <v>#N/A</v>
      </c>
      <c r="DI123" s="41" t="e">
        <v>#N/A</v>
      </c>
      <c r="DJ123" s="41" t="e">
        <v>#N/A</v>
      </c>
      <c r="DK123" s="41" t="e">
        <v>#N/A</v>
      </c>
      <c r="DL123" s="41" t="e">
        <v>#N/A</v>
      </c>
      <c r="DM123" s="39" t="e">
        <f t="shared" si="2"/>
        <v>#N/A</v>
      </c>
      <c r="DN123" s="41" t="e">
        <v>#N/A</v>
      </c>
    </row>
    <row r="124" spans="1:118" ht="15.75" customHeight="1" x14ac:dyDescent="0.25">
      <c r="A124" s="37">
        <v>119</v>
      </c>
      <c r="C124" s="140">
        <v>2802</v>
      </c>
      <c r="D124" s="133" t="e">
        <v>#N/A</v>
      </c>
      <c r="E124" s="41" t="e">
        <v>#N/A</v>
      </c>
      <c r="F124" s="133" t="e">
        <v>#N/A</v>
      </c>
      <c r="G124" s="133" t="e">
        <v>#N/A</v>
      </c>
      <c r="H124" s="133" t="e">
        <v>#N/A</v>
      </c>
      <c r="I124" s="41" t="e">
        <v>#N/A</v>
      </c>
      <c r="J124" s="133" t="e">
        <v>#N/A</v>
      </c>
      <c r="K124" s="133" t="e">
        <v>#N/A</v>
      </c>
      <c r="L124" s="133" t="e">
        <v>#N/A</v>
      </c>
      <c r="M124" s="133" t="e">
        <v>#N/A</v>
      </c>
      <c r="N124" s="133" t="e">
        <v>#N/A</v>
      </c>
      <c r="O124" s="133" t="e">
        <v>#N/A</v>
      </c>
      <c r="P124" s="133" t="e">
        <v>#N/A</v>
      </c>
      <c r="Q124" s="133" t="e">
        <v>#N/A</v>
      </c>
      <c r="R124" s="41" t="e">
        <v>#N/A</v>
      </c>
      <c r="S124" s="41" t="e">
        <v>#N/A</v>
      </c>
      <c r="T124" s="41" t="e">
        <v>#N/A</v>
      </c>
      <c r="U124" s="41" t="e">
        <v>#N/A</v>
      </c>
      <c r="V124" s="41" t="e">
        <v>#N/A</v>
      </c>
      <c r="W124" s="41" t="e">
        <v>#N/A</v>
      </c>
      <c r="X124" s="41" t="e">
        <v>#N/A</v>
      </c>
      <c r="Y124" s="41" t="e">
        <v>#N/A</v>
      </c>
      <c r="Z124" s="41" t="e">
        <v>#N/A</v>
      </c>
      <c r="AA124" s="41" t="e">
        <v>#N/A</v>
      </c>
      <c r="AB124" s="133" t="e">
        <v>#N/A</v>
      </c>
      <c r="AC124" s="133" t="e">
        <v>#N/A</v>
      </c>
      <c r="AD124" s="133" t="e">
        <v>#N/A</v>
      </c>
      <c r="AE124" s="133" t="e">
        <v>#N/A</v>
      </c>
      <c r="AF124" s="133" t="e">
        <v>#N/A</v>
      </c>
      <c r="AG124" s="133" t="e">
        <v>#N/A</v>
      </c>
      <c r="AH124" s="41" t="e">
        <v>#N/A</v>
      </c>
      <c r="AI124" s="41" t="e">
        <v>#N/A</v>
      </c>
      <c r="AJ124" s="41" t="e">
        <v>#N/A</v>
      </c>
      <c r="AK124" s="41" t="e">
        <v>#N/A</v>
      </c>
      <c r="AL124" s="41" t="e">
        <v>#N/A</v>
      </c>
      <c r="AM124" s="41" t="e">
        <v>#N/A</v>
      </c>
      <c r="AN124" s="41" t="e">
        <v>#N/A</v>
      </c>
      <c r="AO124" s="41" t="e">
        <v>#N/A</v>
      </c>
      <c r="AP124" s="41" t="e">
        <v>#N/A</v>
      </c>
      <c r="AQ124" s="41" t="e">
        <v>#N/A</v>
      </c>
      <c r="AR124" s="41" t="e">
        <v>#N/A</v>
      </c>
      <c r="AS124" s="41" t="e">
        <v>#N/A</v>
      </c>
      <c r="AT124" s="41" t="e">
        <v>#N/A</v>
      </c>
      <c r="AU124" s="41" t="e">
        <v>#N/A</v>
      </c>
      <c r="AV124" s="41" t="e">
        <v>#N/A</v>
      </c>
      <c r="AW124" s="41" t="e">
        <v>#N/A</v>
      </c>
      <c r="AX124" s="41" t="e">
        <v>#N/A</v>
      </c>
      <c r="AY124" s="41" t="e">
        <v>#N/A</v>
      </c>
      <c r="AZ124" s="41" t="e">
        <v>#N/A</v>
      </c>
      <c r="BA124" s="41" t="e">
        <v>#N/A</v>
      </c>
      <c r="BB124" s="41" t="e">
        <v>#N/A</v>
      </c>
      <c r="BC124" s="41" t="e">
        <v>#N/A</v>
      </c>
      <c r="BD124" s="41" t="e">
        <v>#N/A</v>
      </c>
      <c r="BE124" s="41" t="e">
        <v>#N/A</v>
      </c>
      <c r="BF124" s="41" t="e">
        <v>#N/A</v>
      </c>
      <c r="BG124" s="41" t="e">
        <v>#N/A</v>
      </c>
      <c r="BH124" s="41" t="e">
        <v>#N/A</v>
      </c>
      <c r="BI124" s="41" t="e">
        <v>#N/A</v>
      </c>
      <c r="BJ124" s="41" t="e">
        <v>#N/A</v>
      </c>
      <c r="BK124" s="41" t="e">
        <v>#N/A</v>
      </c>
      <c r="BL124" s="41" t="e">
        <v>#N/A</v>
      </c>
      <c r="BM124" s="41" t="e">
        <v>#N/A</v>
      </c>
      <c r="BN124" s="41" t="e">
        <v>#N/A</v>
      </c>
      <c r="BO124" s="41" t="e">
        <v>#N/A</v>
      </c>
      <c r="BP124" s="41" t="e">
        <v>#N/A</v>
      </c>
      <c r="BQ124" s="41" t="e">
        <v>#N/A</v>
      </c>
      <c r="BR124" s="41" t="e">
        <v>#N/A</v>
      </c>
      <c r="BS124" s="41" t="e">
        <v>#N/A</v>
      </c>
      <c r="BT124" s="41" t="e">
        <v>#N/A</v>
      </c>
      <c r="BU124" s="41" t="e">
        <v>#N/A</v>
      </c>
      <c r="BV124" s="41" t="e">
        <v>#N/A</v>
      </c>
      <c r="BW124" s="41" t="e">
        <v>#N/A</v>
      </c>
      <c r="BX124" s="41" t="e">
        <v>#N/A</v>
      </c>
      <c r="BY124" s="41" t="e">
        <v>#N/A</v>
      </c>
      <c r="BZ124" s="41" t="e">
        <v>#N/A</v>
      </c>
      <c r="CA124" s="41" t="e">
        <v>#N/A</v>
      </c>
      <c r="CB124" s="41" t="e">
        <v>#N/A</v>
      </c>
      <c r="CC124" s="41" t="e">
        <v>#N/A</v>
      </c>
      <c r="CD124" s="41" t="e">
        <v>#N/A</v>
      </c>
      <c r="CE124" s="41" t="e">
        <v>#N/A</v>
      </c>
      <c r="CF124" s="41" t="e">
        <v>#N/A</v>
      </c>
      <c r="CG124" s="41" t="e">
        <v>#N/A</v>
      </c>
      <c r="CH124" s="41" t="e">
        <v>#N/A</v>
      </c>
      <c r="CI124" s="41" t="e">
        <v>#N/A</v>
      </c>
      <c r="CJ124" s="41" t="e">
        <v>#N/A</v>
      </c>
      <c r="CK124" s="41" t="e">
        <v>#N/A</v>
      </c>
      <c r="CL124" s="41" t="e">
        <v>#N/A</v>
      </c>
      <c r="CM124" s="41" t="e">
        <v>#N/A</v>
      </c>
      <c r="CN124" s="41" t="e">
        <v>#N/A</v>
      </c>
      <c r="CO124" s="58" t="e">
        <v>#N/A</v>
      </c>
      <c r="CP124" s="41" t="e">
        <v>#N/A</v>
      </c>
      <c r="CQ124" s="41" t="e">
        <v>#N/A</v>
      </c>
      <c r="CR124" s="41" t="e">
        <v>#N/A</v>
      </c>
      <c r="CS124" s="41" t="e">
        <v>#N/A</v>
      </c>
      <c r="CT124" s="41" t="e">
        <v>#N/A</v>
      </c>
      <c r="CU124" s="41" t="e">
        <v>#N/A</v>
      </c>
      <c r="CV124" s="41" t="e">
        <v>#N/A</v>
      </c>
      <c r="CW124" s="41" t="e">
        <v>#N/A</v>
      </c>
      <c r="CX124" s="41" t="e">
        <v>#N/A</v>
      </c>
      <c r="CY124" s="41" t="e">
        <v>#N/A</v>
      </c>
      <c r="CZ124" s="41" t="e">
        <v>#N/A</v>
      </c>
      <c r="DA124" s="41" t="e">
        <v>#N/A</v>
      </c>
      <c r="DB124" s="41" t="e">
        <v>#N/A</v>
      </c>
      <c r="DC124" s="41" t="e">
        <v>#N/A</v>
      </c>
      <c r="DD124" s="41" t="e">
        <v>#N/A</v>
      </c>
      <c r="DE124" s="41" t="e">
        <v>#N/A</v>
      </c>
      <c r="DF124" s="133" t="e">
        <v>#N/A</v>
      </c>
      <c r="DG124" s="41" t="e">
        <v>#N/A</v>
      </c>
      <c r="DH124" s="41" t="e">
        <v>#N/A</v>
      </c>
      <c r="DI124" s="41" t="e">
        <v>#N/A</v>
      </c>
      <c r="DJ124" s="41" t="e">
        <v>#N/A</v>
      </c>
      <c r="DK124" s="41" t="e">
        <v>#N/A</v>
      </c>
      <c r="DL124" s="41" t="e">
        <v>#N/A</v>
      </c>
      <c r="DM124" s="39" t="e">
        <f t="shared" si="2"/>
        <v>#N/A</v>
      </c>
      <c r="DN124" s="41" t="e">
        <v>#N/A</v>
      </c>
    </row>
    <row r="125" spans="1:118" ht="15.75" customHeight="1" x14ac:dyDescent="0.25">
      <c r="A125" s="37">
        <v>120</v>
      </c>
      <c r="C125" s="140">
        <v>2686</v>
      </c>
      <c r="D125" s="133" t="e">
        <v>#N/A</v>
      </c>
      <c r="E125" s="41" t="e">
        <v>#N/A</v>
      </c>
      <c r="F125" s="133" t="e">
        <v>#N/A</v>
      </c>
      <c r="G125" s="133" t="e">
        <v>#N/A</v>
      </c>
      <c r="H125" s="133" t="e">
        <v>#N/A</v>
      </c>
      <c r="I125" s="41" t="e">
        <v>#N/A</v>
      </c>
      <c r="J125" s="133" t="e">
        <v>#N/A</v>
      </c>
      <c r="K125" s="133" t="e">
        <v>#N/A</v>
      </c>
      <c r="L125" s="133" t="e">
        <v>#N/A</v>
      </c>
      <c r="M125" s="133" t="e">
        <v>#N/A</v>
      </c>
      <c r="N125" s="133" t="e">
        <v>#N/A</v>
      </c>
      <c r="O125" s="133" t="e">
        <v>#N/A</v>
      </c>
      <c r="P125" s="133" t="e">
        <v>#N/A</v>
      </c>
      <c r="Q125" s="133" t="e">
        <v>#N/A</v>
      </c>
      <c r="R125" s="41" t="e">
        <v>#N/A</v>
      </c>
      <c r="S125" s="41" t="e">
        <v>#N/A</v>
      </c>
      <c r="T125" s="41" t="e">
        <v>#N/A</v>
      </c>
      <c r="U125" s="41" t="e">
        <v>#N/A</v>
      </c>
      <c r="V125" s="41" t="e">
        <v>#N/A</v>
      </c>
      <c r="W125" s="41" t="e">
        <v>#N/A</v>
      </c>
      <c r="X125" s="41" t="e">
        <v>#N/A</v>
      </c>
      <c r="Y125" s="41" t="e">
        <v>#N/A</v>
      </c>
      <c r="Z125" s="41" t="e">
        <v>#N/A</v>
      </c>
      <c r="AA125" s="41" t="e">
        <v>#N/A</v>
      </c>
      <c r="AB125" s="133" t="e">
        <v>#N/A</v>
      </c>
      <c r="AC125" s="133" t="e">
        <v>#N/A</v>
      </c>
      <c r="AD125" s="133" t="e">
        <v>#N/A</v>
      </c>
      <c r="AE125" s="133" t="e">
        <v>#N/A</v>
      </c>
      <c r="AF125" s="133" t="e">
        <v>#N/A</v>
      </c>
      <c r="AG125" s="133" t="e">
        <v>#N/A</v>
      </c>
      <c r="AH125" s="41" t="e">
        <v>#N/A</v>
      </c>
      <c r="AI125" s="41" t="e">
        <v>#N/A</v>
      </c>
      <c r="AJ125" s="41" t="e">
        <v>#N/A</v>
      </c>
      <c r="AK125" s="41" t="e">
        <v>#N/A</v>
      </c>
      <c r="AL125" s="41" t="e">
        <v>#N/A</v>
      </c>
      <c r="AM125" s="41" t="e">
        <v>#N/A</v>
      </c>
      <c r="AN125" s="41" t="e">
        <v>#N/A</v>
      </c>
      <c r="AO125" s="41" t="e">
        <v>#N/A</v>
      </c>
      <c r="AP125" s="41" t="e">
        <v>#N/A</v>
      </c>
      <c r="AQ125" s="41" t="e">
        <v>#N/A</v>
      </c>
      <c r="AR125" s="41" t="e">
        <v>#N/A</v>
      </c>
      <c r="AS125" s="41" t="e">
        <v>#N/A</v>
      </c>
      <c r="AT125" s="41" t="e">
        <v>#N/A</v>
      </c>
      <c r="AU125" s="41" t="e">
        <v>#N/A</v>
      </c>
      <c r="AV125" s="41" t="e">
        <v>#N/A</v>
      </c>
      <c r="AW125" s="41" t="e">
        <v>#N/A</v>
      </c>
      <c r="AX125" s="41" t="e">
        <v>#N/A</v>
      </c>
      <c r="AY125" s="41" t="e">
        <v>#N/A</v>
      </c>
      <c r="AZ125" s="41" t="e">
        <v>#N/A</v>
      </c>
      <c r="BA125" s="41" t="e">
        <v>#N/A</v>
      </c>
      <c r="BB125" s="41" t="e">
        <v>#N/A</v>
      </c>
      <c r="BC125" s="41" t="e">
        <v>#N/A</v>
      </c>
      <c r="BD125" s="41" t="e">
        <v>#N/A</v>
      </c>
      <c r="BE125" s="41" t="e">
        <v>#N/A</v>
      </c>
      <c r="BF125" s="41" t="e">
        <v>#N/A</v>
      </c>
      <c r="BG125" s="41" t="e">
        <v>#N/A</v>
      </c>
      <c r="BH125" s="41" t="e">
        <v>#N/A</v>
      </c>
      <c r="BI125" s="41" t="e">
        <v>#N/A</v>
      </c>
      <c r="BJ125" s="41" t="e">
        <v>#N/A</v>
      </c>
      <c r="BK125" s="41" t="e">
        <v>#N/A</v>
      </c>
      <c r="BL125" s="41" t="e">
        <v>#N/A</v>
      </c>
      <c r="BM125" s="41" t="e">
        <v>#N/A</v>
      </c>
      <c r="BN125" s="41" t="e">
        <v>#N/A</v>
      </c>
      <c r="BO125" s="41" t="e">
        <v>#N/A</v>
      </c>
      <c r="BP125" s="41" t="e">
        <v>#N/A</v>
      </c>
      <c r="BQ125" s="41" t="e">
        <v>#N/A</v>
      </c>
      <c r="BR125" s="41" t="e">
        <v>#N/A</v>
      </c>
      <c r="BS125" s="41" t="e">
        <v>#N/A</v>
      </c>
      <c r="BT125" s="41" t="e">
        <v>#N/A</v>
      </c>
      <c r="BU125" s="41" t="e">
        <v>#N/A</v>
      </c>
      <c r="BV125" s="41" t="e">
        <v>#N/A</v>
      </c>
      <c r="BW125" s="41" t="e">
        <v>#N/A</v>
      </c>
      <c r="BX125" s="41" t="e">
        <v>#N/A</v>
      </c>
      <c r="BY125" s="41" t="e">
        <v>#N/A</v>
      </c>
      <c r="BZ125" s="41" t="e">
        <v>#N/A</v>
      </c>
      <c r="CA125" s="41" t="e">
        <v>#N/A</v>
      </c>
      <c r="CB125" s="41" t="e">
        <v>#N/A</v>
      </c>
      <c r="CC125" s="41" t="e">
        <v>#N/A</v>
      </c>
      <c r="CD125" s="41" t="e">
        <v>#N/A</v>
      </c>
      <c r="CE125" s="41" t="e">
        <v>#N/A</v>
      </c>
      <c r="CF125" s="41" t="e">
        <v>#N/A</v>
      </c>
      <c r="CG125" s="41" t="e">
        <v>#N/A</v>
      </c>
      <c r="CH125" s="41" t="e">
        <v>#N/A</v>
      </c>
      <c r="CI125" s="41" t="e">
        <v>#N/A</v>
      </c>
      <c r="CJ125" s="41" t="e">
        <v>#N/A</v>
      </c>
      <c r="CK125" s="41" t="e">
        <v>#N/A</v>
      </c>
      <c r="CL125" s="41" t="e">
        <v>#N/A</v>
      </c>
      <c r="CM125" s="41" t="e">
        <v>#N/A</v>
      </c>
      <c r="CN125" s="41" t="e">
        <v>#N/A</v>
      </c>
      <c r="CO125" s="58" t="e">
        <v>#N/A</v>
      </c>
      <c r="CP125" s="41" t="e">
        <v>#N/A</v>
      </c>
      <c r="CQ125" s="41" t="e">
        <v>#N/A</v>
      </c>
      <c r="CR125" s="41" t="e">
        <v>#N/A</v>
      </c>
      <c r="CS125" s="41" t="e">
        <v>#N/A</v>
      </c>
      <c r="CT125" s="41" t="e">
        <v>#N/A</v>
      </c>
      <c r="CU125" s="41" t="e">
        <v>#N/A</v>
      </c>
      <c r="CV125" s="41" t="e">
        <v>#N/A</v>
      </c>
      <c r="CW125" s="41" t="e">
        <v>#N/A</v>
      </c>
      <c r="CX125" s="41" t="e">
        <v>#N/A</v>
      </c>
      <c r="CY125" s="41" t="e">
        <v>#N/A</v>
      </c>
      <c r="CZ125" s="41" t="e">
        <v>#N/A</v>
      </c>
      <c r="DA125" s="41" t="e">
        <v>#N/A</v>
      </c>
      <c r="DB125" s="41" t="e">
        <v>#N/A</v>
      </c>
      <c r="DC125" s="41" t="e">
        <v>#N/A</v>
      </c>
      <c r="DD125" s="41" t="e">
        <v>#N/A</v>
      </c>
      <c r="DE125" s="41" t="e">
        <v>#N/A</v>
      </c>
      <c r="DF125" s="133" t="e">
        <v>#N/A</v>
      </c>
      <c r="DG125" s="41" t="e">
        <v>#N/A</v>
      </c>
      <c r="DH125" s="41" t="e">
        <v>#N/A</v>
      </c>
      <c r="DI125" s="41" t="e">
        <v>#N/A</v>
      </c>
      <c r="DJ125" s="41" t="e">
        <v>#N/A</v>
      </c>
      <c r="DK125" s="41" t="e">
        <v>#N/A</v>
      </c>
      <c r="DL125" s="41" t="e">
        <v>#N/A</v>
      </c>
      <c r="DM125" s="39" t="e">
        <f t="shared" si="2"/>
        <v>#N/A</v>
      </c>
      <c r="DN125" s="41" t="e">
        <v>#N/A</v>
      </c>
    </row>
    <row r="126" spans="1:118" ht="15.75" customHeight="1" x14ac:dyDescent="0.25">
      <c r="A126" s="37">
        <v>121</v>
      </c>
      <c r="C126" s="140">
        <v>2154</v>
      </c>
      <c r="D126" s="133" t="e">
        <v>#N/A</v>
      </c>
      <c r="E126" s="41" t="e">
        <v>#N/A</v>
      </c>
      <c r="F126" s="133" t="e">
        <v>#N/A</v>
      </c>
      <c r="G126" s="133" t="e">
        <v>#N/A</v>
      </c>
      <c r="H126" s="133" t="e">
        <v>#N/A</v>
      </c>
      <c r="I126" s="41" t="e">
        <v>#N/A</v>
      </c>
      <c r="J126" s="133" t="e">
        <v>#N/A</v>
      </c>
      <c r="K126" s="133" t="e">
        <v>#N/A</v>
      </c>
      <c r="L126" s="133" t="e">
        <v>#N/A</v>
      </c>
      <c r="M126" s="133" t="e">
        <v>#N/A</v>
      </c>
      <c r="N126" s="133" t="e">
        <v>#N/A</v>
      </c>
      <c r="O126" s="133" t="e">
        <v>#N/A</v>
      </c>
      <c r="P126" s="133" t="e">
        <v>#N/A</v>
      </c>
      <c r="Q126" s="133" t="e">
        <v>#N/A</v>
      </c>
      <c r="R126" s="41" t="e">
        <v>#N/A</v>
      </c>
      <c r="S126" s="41" t="e">
        <v>#N/A</v>
      </c>
      <c r="T126" s="41" t="e">
        <v>#N/A</v>
      </c>
      <c r="U126" s="41" t="e">
        <v>#N/A</v>
      </c>
      <c r="V126" s="41" t="e">
        <v>#N/A</v>
      </c>
      <c r="W126" s="41" t="e">
        <v>#N/A</v>
      </c>
      <c r="X126" s="41" t="e">
        <v>#N/A</v>
      </c>
      <c r="Y126" s="41" t="e">
        <v>#N/A</v>
      </c>
      <c r="Z126" s="41" t="e">
        <v>#N/A</v>
      </c>
      <c r="AA126" s="41" t="e">
        <v>#N/A</v>
      </c>
      <c r="AB126" s="133" t="e">
        <v>#N/A</v>
      </c>
      <c r="AC126" s="133" t="e">
        <v>#N/A</v>
      </c>
      <c r="AD126" s="133" t="e">
        <v>#N/A</v>
      </c>
      <c r="AE126" s="133" t="e">
        <v>#N/A</v>
      </c>
      <c r="AF126" s="133" t="e">
        <v>#N/A</v>
      </c>
      <c r="AG126" s="133" t="e">
        <v>#N/A</v>
      </c>
      <c r="AH126" s="41" t="e">
        <v>#N/A</v>
      </c>
      <c r="AI126" s="41" t="e">
        <v>#N/A</v>
      </c>
      <c r="AJ126" s="41" t="e">
        <v>#N/A</v>
      </c>
      <c r="AK126" s="41" t="e">
        <v>#N/A</v>
      </c>
      <c r="AL126" s="41" t="e">
        <v>#N/A</v>
      </c>
      <c r="AM126" s="41" t="e">
        <v>#N/A</v>
      </c>
      <c r="AN126" s="41" t="e">
        <v>#N/A</v>
      </c>
      <c r="AO126" s="41" t="e">
        <v>#N/A</v>
      </c>
      <c r="AP126" s="41" t="e">
        <v>#N/A</v>
      </c>
      <c r="AQ126" s="41" t="e">
        <v>#N/A</v>
      </c>
      <c r="AR126" s="41" t="e">
        <v>#N/A</v>
      </c>
      <c r="AS126" s="41" t="e">
        <v>#N/A</v>
      </c>
      <c r="AT126" s="41" t="e">
        <v>#N/A</v>
      </c>
      <c r="AU126" s="41" t="e">
        <v>#N/A</v>
      </c>
      <c r="AV126" s="41" t="e">
        <v>#N/A</v>
      </c>
      <c r="AW126" s="41" t="e">
        <v>#N/A</v>
      </c>
      <c r="AX126" s="41" t="e">
        <v>#N/A</v>
      </c>
      <c r="AY126" s="41" t="e">
        <v>#N/A</v>
      </c>
      <c r="AZ126" s="41" t="e">
        <v>#N/A</v>
      </c>
      <c r="BA126" s="41" t="e">
        <v>#N/A</v>
      </c>
      <c r="BB126" s="41" t="e">
        <v>#N/A</v>
      </c>
      <c r="BC126" s="41" t="e">
        <v>#N/A</v>
      </c>
      <c r="BD126" s="41" t="e">
        <v>#N/A</v>
      </c>
      <c r="BE126" s="41" t="e">
        <v>#N/A</v>
      </c>
      <c r="BF126" s="41" t="e">
        <v>#N/A</v>
      </c>
      <c r="BG126" s="41" t="e">
        <v>#N/A</v>
      </c>
      <c r="BH126" s="41" t="e">
        <v>#N/A</v>
      </c>
      <c r="BI126" s="41" t="e">
        <v>#N/A</v>
      </c>
      <c r="BJ126" s="41" t="e">
        <v>#N/A</v>
      </c>
      <c r="BK126" s="41" t="e">
        <v>#N/A</v>
      </c>
      <c r="BL126" s="41" t="e">
        <v>#N/A</v>
      </c>
      <c r="BM126" s="41" t="e">
        <v>#N/A</v>
      </c>
      <c r="BN126" s="41" t="e">
        <v>#N/A</v>
      </c>
      <c r="BO126" s="41" t="e">
        <v>#N/A</v>
      </c>
      <c r="BP126" s="41" t="e">
        <v>#N/A</v>
      </c>
      <c r="BQ126" s="41" t="e">
        <v>#N/A</v>
      </c>
      <c r="BR126" s="41" t="e">
        <v>#N/A</v>
      </c>
      <c r="BS126" s="41" t="e">
        <v>#N/A</v>
      </c>
      <c r="BT126" s="41" t="e">
        <v>#N/A</v>
      </c>
      <c r="BU126" s="41" t="e">
        <v>#N/A</v>
      </c>
      <c r="BV126" s="41" t="e">
        <v>#N/A</v>
      </c>
      <c r="BW126" s="41" t="e">
        <v>#N/A</v>
      </c>
      <c r="BX126" s="41" t="e">
        <v>#N/A</v>
      </c>
      <c r="BY126" s="41" t="e">
        <v>#N/A</v>
      </c>
      <c r="BZ126" s="41" t="e">
        <v>#N/A</v>
      </c>
      <c r="CA126" s="41" t="e">
        <v>#N/A</v>
      </c>
      <c r="CB126" s="41" t="e">
        <v>#N/A</v>
      </c>
      <c r="CC126" s="41" t="e">
        <v>#N/A</v>
      </c>
      <c r="CD126" s="41" t="e">
        <v>#N/A</v>
      </c>
      <c r="CE126" s="41" t="e">
        <v>#N/A</v>
      </c>
      <c r="CF126" s="41" t="e">
        <v>#N/A</v>
      </c>
      <c r="CG126" s="41" t="e">
        <v>#N/A</v>
      </c>
      <c r="CH126" s="41" t="e">
        <v>#N/A</v>
      </c>
      <c r="CI126" s="41" t="e">
        <v>#N/A</v>
      </c>
      <c r="CJ126" s="41" t="e">
        <v>#N/A</v>
      </c>
      <c r="CK126" s="41" t="e">
        <v>#N/A</v>
      </c>
      <c r="CL126" s="41" t="e">
        <v>#N/A</v>
      </c>
      <c r="CM126" s="41" t="e">
        <v>#N/A</v>
      </c>
      <c r="CN126" s="41" t="e">
        <v>#N/A</v>
      </c>
      <c r="CO126" s="58" t="e">
        <v>#N/A</v>
      </c>
      <c r="CP126" s="41" t="e">
        <v>#N/A</v>
      </c>
      <c r="CQ126" s="41" t="e">
        <v>#N/A</v>
      </c>
      <c r="CR126" s="41" t="e">
        <v>#N/A</v>
      </c>
      <c r="CS126" s="41" t="e">
        <v>#N/A</v>
      </c>
      <c r="CT126" s="41" t="e">
        <v>#N/A</v>
      </c>
      <c r="CU126" s="41" t="e">
        <v>#N/A</v>
      </c>
      <c r="CV126" s="41" t="e">
        <v>#N/A</v>
      </c>
      <c r="CW126" s="41" t="e">
        <v>#N/A</v>
      </c>
      <c r="CX126" s="41" t="e">
        <v>#N/A</v>
      </c>
      <c r="CY126" s="41" t="e">
        <v>#N/A</v>
      </c>
      <c r="CZ126" s="41" t="e">
        <v>#N/A</v>
      </c>
      <c r="DA126" s="41" t="e">
        <v>#N/A</v>
      </c>
      <c r="DB126" s="41" t="e">
        <v>#N/A</v>
      </c>
      <c r="DC126" s="41" t="e">
        <v>#N/A</v>
      </c>
      <c r="DD126" s="41" t="e">
        <v>#N/A</v>
      </c>
      <c r="DE126" s="41" t="e">
        <v>#N/A</v>
      </c>
      <c r="DF126" s="133" t="e">
        <v>#N/A</v>
      </c>
      <c r="DG126" s="41" t="e">
        <v>#N/A</v>
      </c>
      <c r="DH126" s="41" t="e">
        <v>#N/A</v>
      </c>
      <c r="DI126" s="41" t="e">
        <v>#N/A</v>
      </c>
      <c r="DJ126" s="41" t="e">
        <v>#N/A</v>
      </c>
      <c r="DK126" s="41" t="e">
        <v>#N/A</v>
      </c>
      <c r="DL126" s="41" t="e">
        <v>#N/A</v>
      </c>
      <c r="DM126" s="39" t="e">
        <f t="shared" si="2"/>
        <v>#N/A</v>
      </c>
      <c r="DN126" s="41" t="e">
        <v>#N/A</v>
      </c>
    </row>
    <row r="127" spans="1:118" ht="15.75" customHeight="1" x14ac:dyDescent="0.25">
      <c r="A127" s="37">
        <v>122</v>
      </c>
      <c r="C127" s="140">
        <v>5414</v>
      </c>
      <c r="D127" s="133" t="e">
        <v>#N/A</v>
      </c>
      <c r="E127" s="41" t="e">
        <v>#N/A</v>
      </c>
      <c r="F127" s="133" t="e">
        <v>#N/A</v>
      </c>
      <c r="G127" s="133" t="e">
        <v>#N/A</v>
      </c>
      <c r="H127" s="133" t="e">
        <v>#N/A</v>
      </c>
      <c r="I127" s="41" t="e">
        <v>#N/A</v>
      </c>
      <c r="J127" s="133" t="e">
        <v>#N/A</v>
      </c>
      <c r="K127" s="133" t="e">
        <v>#N/A</v>
      </c>
      <c r="L127" s="133" t="e">
        <v>#N/A</v>
      </c>
      <c r="M127" s="133" t="e">
        <v>#N/A</v>
      </c>
      <c r="N127" s="133" t="e">
        <v>#N/A</v>
      </c>
      <c r="O127" s="133" t="e">
        <v>#N/A</v>
      </c>
      <c r="P127" s="133" t="e">
        <v>#N/A</v>
      </c>
      <c r="Q127" s="133" t="e">
        <v>#N/A</v>
      </c>
      <c r="R127" s="41" t="e">
        <v>#N/A</v>
      </c>
      <c r="S127" s="41" t="e">
        <v>#N/A</v>
      </c>
      <c r="T127" s="41" t="e">
        <v>#N/A</v>
      </c>
      <c r="U127" s="41" t="e">
        <v>#N/A</v>
      </c>
      <c r="V127" s="41" t="e">
        <v>#N/A</v>
      </c>
      <c r="W127" s="41" t="e">
        <v>#N/A</v>
      </c>
      <c r="X127" s="41" t="e">
        <v>#N/A</v>
      </c>
      <c r="Y127" s="41" t="e">
        <v>#N/A</v>
      </c>
      <c r="Z127" s="41" t="e">
        <v>#N/A</v>
      </c>
      <c r="AA127" s="41" t="e">
        <v>#N/A</v>
      </c>
      <c r="AB127" s="133" t="e">
        <v>#N/A</v>
      </c>
      <c r="AC127" s="133" t="e">
        <v>#N/A</v>
      </c>
      <c r="AD127" s="133" t="e">
        <v>#N/A</v>
      </c>
      <c r="AE127" s="133" t="e">
        <v>#N/A</v>
      </c>
      <c r="AF127" s="133" t="e">
        <v>#N/A</v>
      </c>
      <c r="AG127" s="133" t="e">
        <v>#N/A</v>
      </c>
      <c r="AH127" s="41" t="e">
        <v>#N/A</v>
      </c>
      <c r="AI127" s="41" t="e">
        <v>#N/A</v>
      </c>
      <c r="AJ127" s="41" t="e">
        <v>#N/A</v>
      </c>
      <c r="AK127" s="41" t="e">
        <v>#N/A</v>
      </c>
      <c r="AL127" s="41" t="e">
        <v>#N/A</v>
      </c>
      <c r="AM127" s="41" t="e">
        <v>#N/A</v>
      </c>
      <c r="AN127" s="41" t="e">
        <v>#N/A</v>
      </c>
      <c r="AO127" s="41" t="e">
        <v>#N/A</v>
      </c>
      <c r="AP127" s="41" t="e">
        <v>#N/A</v>
      </c>
      <c r="AQ127" s="41" t="e">
        <v>#N/A</v>
      </c>
      <c r="AR127" s="41" t="e">
        <v>#N/A</v>
      </c>
      <c r="AS127" s="41" t="e">
        <v>#N/A</v>
      </c>
      <c r="AT127" s="41" t="e">
        <v>#N/A</v>
      </c>
      <c r="AU127" s="41" t="e">
        <v>#N/A</v>
      </c>
      <c r="AV127" s="41" t="e">
        <v>#N/A</v>
      </c>
      <c r="AW127" s="41" t="e">
        <v>#N/A</v>
      </c>
      <c r="AX127" s="41" t="e">
        <v>#N/A</v>
      </c>
      <c r="AY127" s="41" t="e">
        <v>#N/A</v>
      </c>
      <c r="AZ127" s="41" t="e">
        <v>#N/A</v>
      </c>
      <c r="BA127" s="41" t="e">
        <v>#N/A</v>
      </c>
      <c r="BB127" s="41" t="e">
        <v>#N/A</v>
      </c>
      <c r="BC127" s="41" t="e">
        <v>#N/A</v>
      </c>
      <c r="BD127" s="41" t="e">
        <v>#N/A</v>
      </c>
      <c r="BE127" s="41" t="e">
        <v>#N/A</v>
      </c>
      <c r="BF127" s="41" t="e">
        <v>#N/A</v>
      </c>
      <c r="BG127" s="41" t="e">
        <v>#N/A</v>
      </c>
      <c r="BH127" s="41" t="e">
        <v>#N/A</v>
      </c>
      <c r="BI127" s="41" t="e">
        <v>#N/A</v>
      </c>
      <c r="BJ127" s="41" t="e">
        <v>#N/A</v>
      </c>
      <c r="BK127" s="41" t="e">
        <v>#N/A</v>
      </c>
      <c r="BL127" s="41" t="e">
        <v>#N/A</v>
      </c>
      <c r="BM127" s="41" t="e">
        <v>#N/A</v>
      </c>
      <c r="BN127" s="41" t="e">
        <v>#N/A</v>
      </c>
      <c r="BO127" s="41" t="e">
        <v>#N/A</v>
      </c>
      <c r="BP127" s="41" t="e">
        <v>#N/A</v>
      </c>
      <c r="BQ127" s="41" t="e">
        <v>#N/A</v>
      </c>
      <c r="BR127" s="41" t="e">
        <v>#N/A</v>
      </c>
      <c r="BS127" s="41" t="e">
        <v>#N/A</v>
      </c>
      <c r="BT127" s="41" t="e">
        <v>#N/A</v>
      </c>
      <c r="BU127" s="41" t="e">
        <v>#N/A</v>
      </c>
      <c r="BV127" s="41" t="e">
        <v>#N/A</v>
      </c>
      <c r="BW127" s="41" t="e">
        <v>#N/A</v>
      </c>
      <c r="BX127" s="41" t="e">
        <v>#N/A</v>
      </c>
      <c r="BY127" s="41" t="e">
        <v>#N/A</v>
      </c>
      <c r="BZ127" s="41" t="e">
        <v>#N/A</v>
      </c>
      <c r="CA127" s="41" t="e">
        <v>#N/A</v>
      </c>
      <c r="CB127" s="41" t="e">
        <v>#N/A</v>
      </c>
      <c r="CC127" s="41" t="e">
        <v>#N/A</v>
      </c>
      <c r="CD127" s="41" t="e">
        <v>#N/A</v>
      </c>
      <c r="CE127" s="41" t="e">
        <v>#N/A</v>
      </c>
      <c r="CF127" s="41" t="e">
        <v>#N/A</v>
      </c>
      <c r="CG127" s="41" t="e">
        <v>#N/A</v>
      </c>
      <c r="CH127" s="41" t="e">
        <v>#N/A</v>
      </c>
      <c r="CI127" s="41" t="e">
        <v>#N/A</v>
      </c>
      <c r="CJ127" s="41" t="e">
        <v>#N/A</v>
      </c>
      <c r="CK127" s="41" t="e">
        <v>#N/A</v>
      </c>
      <c r="CL127" s="41" t="e">
        <v>#N/A</v>
      </c>
      <c r="CM127" s="41" t="e">
        <v>#N/A</v>
      </c>
      <c r="CN127" s="41" t="e">
        <v>#N/A</v>
      </c>
      <c r="CO127" s="58" t="e">
        <v>#N/A</v>
      </c>
      <c r="CP127" s="41" t="e">
        <v>#N/A</v>
      </c>
      <c r="CQ127" s="41" t="e">
        <v>#N/A</v>
      </c>
      <c r="CR127" s="41" t="e">
        <v>#N/A</v>
      </c>
      <c r="CS127" s="41" t="e">
        <v>#N/A</v>
      </c>
      <c r="CT127" s="41" t="e">
        <v>#N/A</v>
      </c>
      <c r="CU127" s="41" t="e">
        <v>#N/A</v>
      </c>
      <c r="CV127" s="41" t="e">
        <v>#N/A</v>
      </c>
      <c r="CW127" s="41" t="e">
        <v>#N/A</v>
      </c>
      <c r="CX127" s="41" t="e">
        <v>#N/A</v>
      </c>
      <c r="CY127" s="41" t="e">
        <v>#N/A</v>
      </c>
      <c r="CZ127" s="41" t="e">
        <v>#N/A</v>
      </c>
      <c r="DA127" s="41" t="e">
        <v>#N/A</v>
      </c>
      <c r="DB127" s="41" t="e">
        <v>#N/A</v>
      </c>
      <c r="DC127" s="41" t="e">
        <v>#N/A</v>
      </c>
      <c r="DD127" s="41" t="e">
        <v>#N/A</v>
      </c>
      <c r="DE127" s="41" t="e">
        <v>#N/A</v>
      </c>
      <c r="DF127" s="133" t="e">
        <v>#N/A</v>
      </c>
      <c r="DG127" s="41" t="e">
        <v>#N/A</v>
      </c>
      <c r="DH127" s="41" t="e">
        <v>#N/A</v>
      </c>
      <c r="DI127" s="41" t="e">
        <v>#N/A</v>
      </c>
      <c r="DJ127" s="41" t="e">
        <v>#N/A</v>
      </c>
      <c r="DK127" s="41" t="e">
        <v>#N/A</v>
      </c>
      <c r="DL127" s="41" t="e">
        <v>#N/A</v>
      </c>
      <c r="DM127" s="39" t="e">
        <f t="shared" si="2"/>
        <v>#N/A</v>
      </c>
      <c r="DN127" s="41" t="e">
        <v>#N/A</v>
      </c>
    </row>
    <row r="128" spans="1:118" ht="15.75" customHeight="1" x14ac:dyDescent="0.25">
      <c r="A128" s="37">
        <v>123</v>
      </c>
      <c r="C128" s="140">
        <v>4241</v>
      </c>
      <c r="D128" s="133" t="e">
        <v>#N/A</v>
      </c>
      <c r="E128" s="41" t="e">
        <v>#N/A</v>
      </c>
      <c r="F128" s="133" t="e">
        <v>#N/A</v>
      </c>
      <c r="G128" s="133" t="e">
        <v>#N/A</v>
      </c>
      <c r="H128" s="133" t="e">
        <v>#N/A</v>
      </c>
      <c r="I128" s="41" t="e">
        <v>#N/A</v>
      </c>
      <c r="J128" s="133" t="e">
        <v>#N/A</v>
      </c>
      <c r="K128" s="133" t="e">
        <v>#N/A</v>
      </c>
      <c r="L128" s="133" t="e">
        <v>#N/A</v>
      </c>
      <c r="M128" s="133" t="e">
        <v>#N/A</v>
      </c>
      <c r="N128" s="133" t="e">
        <v>#N/A</v>
      </c>
      <c r="O128" s="133" t="e">
        <v>#N/A</v>
      </c>
      <c r="P128" s="133" t="e">
        <v>#N/A</v>
      </c>
      <c r="Q128" s="133" t="e">
        <v>#N/A</v>
      </c>
      <c r="R128" s="41" t="e">
        <v>#N/A</v>
      </c>
      <c r="S128" s="41" t="e">
        <v>#N/A</v>
      </c>
      <c r="T128" s="41" t="e">
        <v>#N/A</v>
      </c>
      <c r="U128" s="41" t="e">
        <v>#N/A</v>
      </c>
      <c r="V128" s="41" t="e">
        <v>#N/A</v>
      </c>
      <c r="W128" s="41" t="e">
        <v>#N/A</v>
      </c>
      <c r="X128" s="41" t="e">
        <v>#N/A</v>
      </c>
      <c r="Y128" s="41" t="e">
        <v>#N/A</v>
      </c>
      <c r="Z128" s="41" t="e">
        <v>#N/A</v>
      </c>
      <c r="AA128" s="41" t="e">
        <v>#N/A</v>
      </c>
      <c r="AB128" s="133" t="e">
        <v>#N/A</v>
      </c>
      <c r="AC128" s="133" t="e">
        <v>#N/A</v>
      </c>
      <c r="AD128" s="133" t="e">
        <v>#N/A</v>
      </c>
      <c r="AE128" s="133" t="e">
        <v>#N/A</v>
      </c>
      <c r="AF128" s="133" t="e">
        <v>#N/A</v>
      </c>
      <c r="AG128" s="133" t="e">
        <v>#N/A</v>
      </c>
      <c r="AH128" s="41" t="e">
        <v>#N/A</v>
      </c>
      <c r="AI128" s="41" t="e">
        <v>#N/A</v>
      </c>
      <c r="AJ128" s="41" t="e">
        <v>#N/A</v>
      </c>
      <c r="AK128" s="41" t="e">
        <v>#N/A</v>
      </c>
      <c r="AL128" s="41" t="e">
        <v>#N/A</v>
      </c>
      <c r="AM128" s="41" t="e">
        <v>#N/A</v>
      </c>
      <c r="AN128" s="41" t="e">
        <v>#N/A</v>
      </c>
      <c r="AO128" s="41" t="e">
        <v>#N/A</v>
      </c>
      <c r="AP128" s="41" t="e">
        <v>#N/A</v>
      </c>
      <c r="AQ128" s="41" t="e">
        <v>#N/A</v>
      </c>
      <c r="AR128" s="41" t="e">
        <v>#N/A</v>
      </c>
      <c r="AS128" s="41" t="e">
        <v>#N/A</v>
      </c>
      <c r="AT128" s="41" t="e">
        <v>#N/A</v>
      </c>
      <c r="AU128" s="41" t="e">
        <v>#N/A</v>
      </c>
      <c r="AV128" s="41" t="e">
        <v>#N/A</v>
      </c>
      <c r="AW128" s="41" t="e">
        <v>#N/A</v>
      </c>
      <c r="AX128" s="41" t="e">
        <v>#N/A</v>
      </c>
      <c r="AY128" s="41" t="e">
        <v>#N/A</v>
      </c>
      <c r="AZ128" s="41" t="e">
        <v>#N/A</v>
      </c>
      <c r="BA128" s="41" t="e">
        <v>#N/A</v>
      </c>
      <c r="BB128" s="41" t="e">
        <v>#N/A</v>
      </c>
      <c r="BC128" s="41" t="e">
        <v>#N/A</v>
      </c>
      <c r="BD128" s="41" t="e">
        <v>#N/A</v>
      </c>
      <c r="BE128" s="41" t="e">
        <v>#N/A</v>
      </c>
      <c r="BF128" s="41" t="e">
        <v>#N/A</v>
      </c>
      <c r="BG128" s="41" t="e">
        <v>#N/A</v>
      </c>
      <c r="BH128" s="41" t="e">
        <v>#N/A</v>
      </c>
      <c r="BI128" s="41" t="e">
        <v>#N/A</v>
      </c>
      <c r="BJ128" s="41" t="e">
        <v>#N/A</v>
      </c>
      <c r="BK128" s="41" t="e">
        <v>#N/A</v>
      </c>
      <c r="BL128" s="41" t="e">
        <v>#N/A</v>
      </c>
      <c r="BM128" s="41" t="e">
        <v>#N/A</v>
      </c>
      <c r="BN128" s="41" t="e">
        <v>#N/A</v>
      </c>
      <c r="BO128" s="41" t="e">
        <v>#N/A</v>
      </c>
      <c r="BP128" s="41" t="e">
        <v>#N/A</v>
      </c>
      <c r="BQ128" s="41" t="e">
        <v>#N/A</v>
      </c>
      <c r="BR128" s="41" t="e">
        <v>#N/A</v>
      </c>
      <c r="BS128" s="41" t="e">
        <v>#N/A</v>
      </c>
      <c r="BT128" s="41" t="e">
        <v>#N/A</v>
      </c>
      <c r="BU128" s="41" t="e">
        <v>#N/A</v>
      </c>
      <c r="BV128" s="41" t="e">
        <v>#N/A</v>
      </c>
      <c r="BW128" s="41" t="e">
        <v>#N/A</v>
      </c>
      <c r="BX128" s="41" t="e">
        <v>#N/A</v>
      </c>
      <c r="BY128" s="41" t="e">
        <v>#N/A</v>
      </c>
      <c r="BZ128" s="41" t="e">
        <v>#N/A</v>
      </c>
      <c r="CA128" s="41" t="e">
        <v>#N/A</v>
      </c>
      <c r="CB128" s="41" t="e">
        <v>#N/A</v>
      </c>
      <c r="CC128" s="41" t="e">
        <v>#N/A</v>
      </c>
      <c r="CD128" s="41" t="e">
        <v>#N/A</v>
      </c>
      <c r="CE128" s="41" t="e">
        <v>#N/A</v>
      </c>
      <c r="CF128" s="41" t="e">
        <v>#N/A</v>
      </c>
      <c r="CG128" s="41" t="e">
        <v>#N/A</v>
      </c>
      <c r="CH128" s="41" t="e">
        <v>#N/A</v>
      </c>
      <c r="CI128" s="41" t="e">
        <v>#N/A</v>
      </c>
      <c r="CJ128" s="41" t="e">
        <v>#N/A</v>
      </c>
      <c r="CK128" s="41" t="e">
        <v>#N/A</v>
      </c>
      <c r="CL128" s="41" t="e">
        <v>#N/A</v>
      </c>
      <c r="CM128" s="41" t="e">
        <v>#N/A</v>
      </c>
      <c r="CN128" s="41" t="e">
        <v>#N/A</v>
      </c>
      <c r="CO128" s="58" t="e">
        <v>#N/A</v>
      </c>
      <c r="CP128" s="41" t="e">
        <v>#N/A</v>
      </c>
      <c r="CQ128" s="41" t="e">
        <v>#N/A</v>
      </c>
      <c r="CR128" s="41" t="e">
        <v>#N/A</v>
      </c>
      <c r="CS128" s="41" t="e">
        <v>#N/A</v>
      </c>
      <c r="CT128" s="41" t="e">
        <v>#N/A</v>
      </c>
      <c r="CU128" s="41" t="e">
        <v>#N/A</v>
      </c>
      <c r="CV128" s="41" t="e">
        <v>#N/A</v>
      </c>
      <c r="CW128" s="41" t="e">
        <v>#N/A</v>
      </c>
      <c r="CX128" s="41" t="e">
        <v>#N/A</v>
      </c>
      <c r="CY128" s="41" t="e">
        <v>#N/A</v>
      </c>
      <c r="CZ128" s="41" t="e">
        <v>#N/A</v>
      </c>
      <c r="DA128" s="41" t="e">
        <v>#N/A</v>
      </c>
      <c r="DB128" s="41" t="e">
        <v>#N/A</v>
      </c>
      <c r="DC128" s="41" t="e">
        <v>#N/A</v>
      </c>
      <c r="DD128" s="41" t="e">
        <v>#N/A</v>
      </c>
      <c r="DE128" s="41" t="e">
        <v>#N/A</v>
      </c>
      <c r="DF128" s="133" t="e">
        <v>#N/A</v>
      </c>
      <c r="DG128" s="41" t="e">
        <v>#N/A</v>
      </c>
      <c r="DH128" s="41" t="e">
        <v>#N/A</v>
      </c>
      <c r="DI128" s="41" t="e">
        <v>#N/A</v>
      </c>
      <c r="DJ128" s="41" t="e">
        <v>#N/A</v>
      </c>
      <c r="DK128" s="41" t="e">
        <v>#N/A</v>
      </c>
      <c r="DL128" s="41" t="e">
        <v>#N/A</v>
      </c>
      <c r="DM128" s="39" t="e">
        <f t="shared" si="2"/>
        <v>#N/A</v>
      </c>
      <c r="DN128" s="41" t="e">
        <v>#N/A</v>
      </c>
    </row>
    <row r="129" spans="1:118" ht="15.75" customHeight="1" x14ac:dyDescent="0.25">
      <c r="A129" s="37">
        <v>124</v>
      </c>
      <c r="C129" s="140">
        <v>8171</v>
      </c>
      <c r="D129" s="133" t="e">
        <v>#N/A</v>
      </c>
      <c r="E129" s="41" t="e">
        <v>#N/A</v>
      </c>
      <c r="F129" s="133" t="e">
        <v>#N/A</v>
      </c>
      <c r="G129" s="133" t="e">
        <v>#N/A</v>
      </c>
      <c r="H129" s="133" t="e">
        <v>#N/A</v>
      </c>
      <c r="I129" s="41" t="e">
        <v>#N/A</v>
      </c>
      <c r="J129" s="133" t="e">
        <v>#N/A</v>
      </c>
      <c r="K129" s="133" t="e">
        <v>#N/A</v>
      </c>
      <c r="L129" s="133" t="e">
        <v>#N/A</v>
      </c>
      <c r="M129" s="133" t="e">
        <v>#N/A</v>
      </c>
      <c r="N129" s="133" t="e">
        <v>#N/A</v>
      </c>
      <c r="O129" s="133" t="e">
        <v>#N/A</v>
      </c>
      <c r="P129" s="133" t="e">
        <v>#N/A</v>
      </c>
      <c r="Q129" s="133" t="e">
        <v>#N/A</v>
      </c>
      <c r="R129" s="41" t="e">
        <v>#N/A</v>
      </c>
      <c r="S129" s="41" t="e">
        <v>#N/A</v>
      </c>
      <c r="T129" s="41" t="e">
        <v>#N/A</v>
      </c>
      <c r="U129" s="41" t="e">
        <v>#N/A</v>
      </c>
      <c r="V129" s="41" t="e">
        <v>#N/A</v>
      </c>
      <c r="W129" s="41" t="e">
        <v>#N/A</v>
      </c>
      <c r="X129" s="41" t="e">
        <v>#N/A</v>
      </c>
      <c r="Y129" s="41" t="e">
        <v>#N/A</v>
      </c>
      <c r="Z129" s="41" t="e">
        <v>#N/A</v>
      </c>
      <c r="AA129" s="41" t="e">
        <v>#N/A</v>
      </c>
      <c r="AB129" s="133" t="e">
        <v>#N/A</v>
      </c>
      <c r="AC129" s="133" t="e">
        <v>#N/A</v>
      </c>
      <c r="AD129" s="133" t="e">
        <v>#N/A</v>
      </c>
      <c r="AE129" s="133" t="e">
        <v>#N/A</v>
      </c>
      <c r="AF129" s="133" t="e">
        <v>#N/A</v>
      </c>
      <c r="AG129" s="133" t="e">
        <v>#N/A</v>
      </c>
      <c r="AH129" s="41" t="e">
        <v>#N/A</v>
      </c>
      <c r="AI129" s="41" t="e">
        <v>#N/A</v>
      </c>
      <c r="AJ129" s="41" t="e">
        <v>#N/A</v>
      </c>
      <c r="AK129" s="41" t="e">
        <v>#N/A</v>
      </c>
      <c r="AL129" s="41" t="e">
        <v>#N/A</v>
      </c>
      <c r="AM129" s="41" t="e">
        <v>#N/A</v>
      </c>
      <c r="AN129" s="41" t="e">
        <v>#N/A</v>
      </c>
      <c r="AO129" s="41" t="e">
        <v>#N/A</v>
      </c>
      <c r="AP129" s="41" t="e">
        <v>#N/A</v>
      </c>
      <c r="AQ129" s="41" t="e">
        <v>#N/A</v>
      </c>
      <c r="AR129" s="41" t="e">
        <v>#N/A</v>
      </c>
      <c r="AS129" s="41" t="e">
        <v>#N/A</v>
      </c>
      <c r="AT129" s="41" t="e">
        <v>#N/A</v>
      </c>
      <c r="AU129" s="41" t="e">
        <v>#N/A</v>
      </c>
      <c r="AV129" s="41" t="e">
        <v>#N/A</v>
      </c>
      <c r="AW129" s="41" t="e">
        <v>#N/A</v>
      </c>
      <c r="AX129" s="41" t="e">
        <v>#N/A</v>
      </c>
      <c r="AY129" s="41" t="e">
        <v>#N/A</v>
      </c>
      <c r="AZ129" s="41" t="e">
        <v>#N/A</v>
      </c>
      <c r="BA129" s="41" t="e">
        <v>#N/A</v>
      </c>
      <c r="BB129" s="41" t="e">
        <v>#N/A</v>
      </c>
      <c r="BC129" s="41" t="e">
        <v>#N/A</v>
      </c>
      <c r="BD129" s="41" t="e">
        <v>#N/A</v>
      </c>
      <c r="BE129" s="41" t="e">
        <v>#N/A</v>
      </c>
      <c r="BF129" s="41" t="e">
        <v>#N/A</v>
      </c>
      <c r="BG129" s="41" t="e">
        <v>#N/A</v>
      </c>
      <c r="BH129" s="41" t="e">
        <v>#N/A</v>
      </c>
      <c r="BI129" s="41" t="e">
        <v>#N/A</v>
      </c>
      <c r="BJ129" s="41" t="e">
        <v>#N/A</v>
      </c>
      <c r="BK129" s="41" t="e">
        <v>#N/A</v>
      </c>
      <c r="BL129" s="41" t="e">
        <v>#N/A</v>
      </c>
      <c r="BM129" s="41" t="e">
        <v>#N/A</v>
      </c>
      <c r="BN129" s="41" t="e">
        <v>#N/A</v>
      </c>
      <c r="BO129" s="41" t="e">
        <v>#N/A</v>
      </c>
      <c r="BP129" s="41" t="e">
        <v>#N/A</v>
      </c>
      <c r="BQ129" s="41" t="e">
        <v>#N/A</v>
      </c>
      <c r="BR129" s="41" t="e">
        <v>#N/A</v>
      </c>
      <c r="BS129" s="41" t="e">
        <v>#N/A</v>
      </c>
      <c r="BT129" s="41" t="e">
        <v>#N/A</v>
      </c>
      <c r="BU129" s="41" t="e">
        <v>#N/A</v>
      </c>
      <c r="BV129" s="41" t="e">
        <v>#N/A</v>
      </c>
      <c r="BW129" s="41" t="e">
        <v>#N/A</v>
      </c>
      <c r="BX129" s="41" t="e">
        <v>#N/A</v>
      </c>
      <c r="BY129" s="41" t="e">
        <v>#N/A</v>
      </c>
      <c r="BZ129" s="41" t="e">
        <v>#N/A</v>
      </c>
      <c r="CA129" s="41" t="e">
        <v>#N/A</v>
      </c>
      <c r="CB129" s="41" t="e">
        <v>#N/A</v>
      </c>
      <c r="CC129" s="41" t="e">
        <v>#N/A</v>
      </c>
      <c r="CD129" s="41" t="e">
        <v>#N/A</v>
      </c>
      <c r="CE129" s="41" t="e">
        <v>#N/A</v>
      </c>
      <c r="CF129" s="41" t="e">
        <v>#N/A</v>
      </c>
      <c r="CG129" s="41" t="e">
        <v>#N/A</v>
      </c>
      <c r="CH129" s="41" t="e">
        <v>#N/A</v>
      </c>
      <c r="CI129" s="41" t="e">
        <v>#N/A</v>
      </c>
      <c r="CJ129" s="41" t="e">
        <v>#N/A</v>
      </c>
      <c r="CK129" s="41" t="e">
        <v>#N/A</v>
      </c>
      <c r="CL129" s="41" t="e">
        <v>#N/A</v>
      </c>
      <c r="CM129" s="41" t="e">
        <v>#N/A</v>
      </c>
      <c r="CN129" s="41" t="e">
        <v>#N/A</v>
      </c>
      <c r="CO129" s="58" t="e">
        <v>#N/A</v>
      </c>
      <c r="CP129" s="41" t="e">
        <v>#N/A</v>
      </c>
      <c r="CQ129" s="41" t="e">
        <v>#N/A</v>
      </c>
      <c r="CR129" s="41" t="e">
        <v>#N/A</v>
      </c>
      <c r="CS129" s="41" t="e">
        <v>#N/A</v>
      </c>
      <c r="CT129" s="41" t="e">
        <v>#N/A</v>
      </c>
      <c r="CU129" s="41" t="e">
        <v>#N/A</v>
      </c>
      <c r="CV129" s="41" t="e">
        <v>#N/A</v>
      </c>
      <c r="CW129" s="41" t="e">
        <v>#N/A</v>
      </c>
      <c r="CX129" s="41" t="e">
        <v>#N/A</v>
      </c>
      <c r="CY129" s="41" t="e">
        <v>#N/A</v>
      </c>
      <c r="CZ129" s="41" t="e">
        <v>#N/A</v>
      </c>
      <c r="DA129" s="41" t="e">
        <v>#N/A</v>
      </c>
      <c r="DB129" s="41" t="e">
        <v>#N/A</v>
      </c>
      <c r="DC129" s="41" t="e">
        <v>#N/A</v>
      </c>
      <c r="DD129" s="41" t="e">
        <v>#N/A</v>
      </c>
      <c r="DE129" s="41" t="e">
        <v>#N/A</v>
      </c>
      <c r="DF129" s="133" t="e">
        <v>#N/A</v>
      </c>
      <c r="DG129" s="41" t="e">
        <v>#N/A</v>
      </c>
      <c r="DH129" s="41" t="e">
        <v>#N/A</v>
      </c>
      <c r="DI129" s="41" t="e">
        <v>#N/A</v>
      </c>
      <c r="DJ129" s="41" t="e">
        <v>#N/A</v>
      </c>
      <c r="DK129" s="41" t="e">
        <v>#N/A</v>
      </c>
      <c r="DL129" s="41" t="e">
        <v>#N/A</v>
      </c>
      <c r="DM129" s="39" t="e">
        <f t="shared" si="2"/>
        <v>#N/A</v>
      </c>
      <c r="DN129" s="41" t="e">
        <v>#N/A</v>
      </c>
    </row>
    <row r="130" spans="1:118" ht="15.75" customHeight="1" x14ac:dyDescent="0.25">
      <c r="A130" s="37">
        <v>125</v>
      </c>
      <c r="C130" s="140">
        <v>9945</v>
      </c>
      <c r="D130" s="133" t="e">
        <v>#N/A</v>
      </c>
      <c r="E130" s="41" t="e">
        <v>#N/A</v>
      </c>
      <c r="F130" s="133" t="e">
        <v>#N/A</v>
      </c>
      <c r="G130" s="133" t="e">
        <v>#N/A</v>
      </c>
      <c r="H130" s="133" t="e">
        <v>#N/A</v>
      </c>
      <c r="I130" s="41" t="e">
        <v>#N/A</v>
      </c>
      <c r="J130" s="133" t="e">
        <v>#N/A</v>
      </c>
      <c r="K130" s="133" t="e">
        <v>#N/A</v>
      </c>
      <c r="L130" s="133" t="e">
        <v>#N/A</v>
      </c>
      <c r="M130" s="133" t="e">
        <v>#N/A</v>
      </c>
      <c r="N130" s="133" t="e">
        <v>#N/A</v>
      </c>
      <c r="O130" s="133" t="e">
        <v>#N/A</v>
      </c>
      <c r="P130" s="133" t="e">
        <v>#N/A</v>
      </c>
      <c r="Q130" s="133" t="e">
        <v>#N/A</v>
      </c>
      <c r="R130" s="41" t="e">
        <v>#N/A</v>
      </c>
      <c r="S130" s="41" t="e">
        <v>#N/A</v>
      </c>
      <c r="T130" s="41" t="e">
        <v>#N/A</v>
      </c>
      <c r="U130" s="41" t="e">
        <v>#N/A</v>
      </c>
      <c r="V130" s="41" t="e">
        <v>#N/A</v>
      </c>
      <c r="W130" s="41" t="e">
        <v>#N/A</v>
      </c>
      <c r="X130" s="41" t="e">
        <v>#N/A</v>
      </c>
      <c r="Y130" s="41" t="e">
        <v>#N/A</v>
      </c>
      <c r="Z130" s="41" t="e">
        <v>#N/A</v>
      </c>
      <c r="AA130" s="41" t="e">
        <v>#N/A</v>
      </c>
      <c r="AB130" s="133" t="e">
        <v>#N/A</v>
      </c>
      <c r="AC130" s="133" t="e">
        <v>#N/A</v>
      </c>
      <c r="AD130" s="133" t="e">
        <v>#N/A</v>
      </c>
      <c r="AE130" s="133" t="e">
        <v>#N/A</v>
      </c>
      <c r="AF130" s="133" t="e">
        <v>#N/A</v>
      </c>
      <c r="AG130" s="133" t="e">
        <v>#N/A</v>
      </c>
      <c r="AH130" s="41" t="e">
        <v>#N/A</v>
      </c>
      <c r="AI130" s="41" t="e">
        <v>#N/A</v>
      </c>
      <c r="AJ130" s="41" t="e">
        <v>#N/A</v>
      </c>
      <c r="AK130" s="41" t="e">
        <v>#N/A</v>
      </c>
      <c r="AL130" s="41" t="e">
        <v>#N/A</v>
      </c>
      <c r="AM130" s="41" t="e">
        <v>#N/A</v>
      </c>
      <c r="AN130" s="41" t="e">
        <v>#N/A</v>
      </c>
      <c r="AO130" s="41" t="e">
        <v>#N/A</v>
      </c>
      <c r="AP130" s="41" t="e">
        <v>#N/A</v>
      </c>
      <c r="AQ130" s="41" t="e">
        <v>#N/A</v>
      </c>
      <c r="AR130" s="41" t="e">
        <v>#N/A</v>
      </c>
      <c r="AS130" s="41" t="e">
        <v>#N/A</v>
      </c>
      <c r="AT130" s="41" t="e">
        <v>#N/A</v>
      </c>
      <c r="AU130" s="41" t="e">
        <v>#N/A</v>
      </c>
      <c r="AV130" s="41" t="e">
        <v>#N/A</v>
      </c>
      <c r="AW130" s="41" t="e">
        <v>#N/A</v>
      </c>
      <c r="AX130" s="41" t="e">
        <v>#N/A</v>
      </c>
      <c r="AY130" s="41" t="e">
        <v>#N/A</v>
      </c>
      <c r="AZ130" s="41" t="e">
        <v>#N/A</v>
      </c>
      <c r="BA130" s="41" t="e">
        <v>#N/A</v>
      </c>
      <c r="BB130" s="41" t="e">
        <v>#N/A</v>
      </c>
      <c r="BC130" s="41" t="e">
        <v>#N/A</v>
      </c>
      <c r="BD130" s="41" t="e">
        <v>#N/A</v>
      </c>
      <c r="BE130" s="41" t="e">
        <v>#N/A</v>
      </c>
      <c r="BF130" s="41" t="e">
        <v>#N/A</v>
      </c>
      <c r="BG130" s="41" t="e">
        <v>#N/A</v>
      </c>
      <c r="BH130" s="41" t="e">
        <v>#N/A</v>
      </c>
      <c r="BI130" s="41" t="e">
        <v>#N/A</v>
      </c>
      <c r="BJ130" s="41" t="e">
        <v>#N/A</v>
      </c>
      <c r="BK130" s="41" t="e">
        <v>#N/A</v>
      </c>
      <c r="BL130" s="41" t="e">
        <v>#N/A</v>
      </c>
      <c r="BM130" s="41" t="e">
        <v>#N/A</v>
      </c>
      <c r="BN130" s="41" t="e">
        <v>#N/A</v>
      </c>
      <c r="BO130" s="41" t="e">
        <v>#N/A</v>
      </c>
      <c r="BP130" s="41" t="e">
        <v>#N/A</v>
      </c>
      <c r="BQ130" s="41" t="e">
        <v>#N/A</v>
      </c>
      <c r="BR130" s="41" t="e">
        <v>#N/A</v>
      </c>
      <c r="BS130" s="41" t="e">
        <v>#N/A</v>
      </c>
      <c r="BT130" s="41" t="e">
        <v>#N/A</v>
      </c>
      <c r="BU130" s="41" t="e">
        <v>#N/A</v>
      </c>
      <c r="BV130" s="41" t="e">
        <v>#N/A</v>
      </c>
      <c r="BW130" s="41" t="e">
        <v>#N/A</v>
      </c>
      <c r="BX130" s="41" t="e">
        <v>#N/A</v>
      </c>
      <c r="BY130" s="41" t="e">
        <v>#N/A</v>
      </c>
      <c r="BZ130" s="41" t="e">
        <v>#N/A</v>
      </c>
      <c r="CA130" s="41" t="e">
        <v>#N/A</v>
      </c>
      <c r="CB130" s="41" t="e">
        <v>#N/A</v>
      </c>
      <c r="CC130" s="41" t="e">
        <v>#N/A</v>
      </c>
      <c r="CD130" s="41" t="e">
        <v>#N/A</v>
      </c>
      <c r="CE130" s="41" t="e">
        <v>#N/A</v>
      </c>
      <c r="CF130" s="41" t="e">
        <v>#N/A</v>
      </c>
      <c r="CG130" s="41" t="e">
        <v>#N/A</v>
      </c>
      <c r="CH130" s="41" t="e">
        <v>#N/A</v>
      </c>
      <c r="CI130" s="41" t="e">
        <v>#N/A</v>
      </c>
      <c r="CJ130" s="41" t="e">
        <v>#N/A</v>
      </c>
      <c r="CK130" s="41" t="e">
        <v>#N/A</v>
      </c>
      <c r="CL130" s="41" t="e">
        <v>#N/A</v>
      </c>
      <c r="CM130" s="41" t="e">
        <v>#N/A</v>
      </c>
      <c r="CN130" s="41" t="e">
        <v>#N/A</v>
      </c>
      <c r="CO130" s="58" t="e">
        <v>#N/A</v>
      </c>
      <c r="CP130" s="41" t="e">
        <v>#N/A</v>
      </c>
      <c r="CQ130" s="41" t="e">
        <v>#N/A</v>
      </c>
      <c r="CR130" s="41" t="e">
        <v>#N/A</v>
      </c>
      <c r="CS130" s="41" t="e">
        <v>#N/A</v>
      </c>
      <c r="CT130" s="41" t="e">
        <v>#N/A</v>
      </c>
      <c r="CU130" s="41" t="e">
        <v>#N/A</v>
      </c>
      <c r="CV130" s="41" t="e">
        <v>#N/A</v>
      </c>
      <c r="CW130" s="41" t="e">
        <v>#N/A</v>
      </c>
      <c r="CX130" s="41" t="e">
        <v>#N/A</v>
      </c>
      <c r="CY130" s="41" t="e">
        <v>#N/A</v>
      </c>
      <c r="CZ130" s="41" t="e">
        <v>#N/A</v>
      </c>
      <c r="DA130" s="41" t="e">
        <v>#N/A</v>
      </c>
      <c r="DB130" s="41" t="e">
        <v>#N/A</v>
      </c>
      <c r="DC130" s="41" t="e">
        <v>#N/A</v>
      </c>
      <c r="DD130" s="41" t="e">
        <v>#N/A</v>
      </c>
      <c r="DE130" s="41" t="e">
        <v>#N/A</v>
      </c>
      <c r="DF130" s="133" t="e">
        <v>#N/A</v>
      </c>
      <c r="DG130" s="41" t="e">
        <v>#N/A</v>
      </c>
      <c r="DH130" s="41" t="e">
        <v>#N/A</v>
      </c>
      <c r="DI130" s="41" t="e">
        <v>#N/A</v>
      </c>
      <c r="DJ130" s="41" t="e">
        <v>#N/A</v>
      </c>
      <c r="DK130" s="41" t="e">
        <v>#N/A</v>
      </c>
      <c r="DL130" s="41" t="e">
        <v>#N/A</v>
      </c>
      <c r="DM130" s="39" t="e">
        <f t="shared" si="2"/>
        <v>#N/A</v>
      </c>
      <c r="DN130" s="41" t="e">
        <v>#N/A</v>
      </c>
    </row>
    <row r="131" spans="1:118" ht="15.75" customHeight="1" x14ac:dyDescent="0.25">
      <c r="A131" s="37">
        <v>126</v>
      </c>
      <c r="C131" s="140">
        <v>4045</v>
      </c>
      <c r="D131" s="133" t="e">
        <v>#N/A</v>
      </c>
      <c r="E131" s="41" t="e">
        <v>#N/A</v>
      </c>
      <c r="F131" s="133" t="e">
        <v>#N/A</v>
      </c>
      <c r="G131" s="133" t="e">
        <v>#N/A</v>
      </c>
      <c r="H131" s="133" t="e">
        <v>#N/A</v>
      </c>
      <c r="I131" s="41" t="e">
        <v>#N/A</v>
      </c>
      <c r="J131" s="133" t="e">
        <v>#N/A</v>
      </c>
      <c r="K131" s="133" t="e">
        <v>#N/A</v>
      </c>
      <c r="L131" s="133" t="e">
        <v>#N/A</v>
      </c>
      <c r="M131" s="133" t="e">
        <v>#N/A</v>
      </c>
      <c r="N131" s="133" t="e">
        <v>#N/A</v>
      </c>
      <c r="O131" s="133" t="e">
        <v>#N/A</v>
      </c>
      <c r="P131" s="133" t="e">
        <v>#N/A</v>
      </c>
      <c r="Q131" s="133" t="e">
        <v>#N/A</v>
      </c>
      <c r="R131" s="41" t="e">
        <v>#N/A</v>
      </c>
      <c r="S131" s="41" t="e">
        <v>#N/A</v>
      </c>
      <c r="T131" s="41" t="e">
        <v>#N/A</v>
      </c>
      <c r="U131" s="41" t="e">
        <v>#N/A</v>
      </c>
      <c r="V131" s="41" t="e">
        <v>#N/A</v>
      </c>
      <c r="W131" s="41" t="e">
        <v>#N/A</v>
      </c>
      <c r="X131" s="41" t="e">
        <v>#N/A</v>
      </c>
      <c r="Y131" s="41" t="e">
        <v>#N/A</v>
      </c>
      <c r="Z131" s="41" t="e">
        <v>#N/A</v>
      </c>
      <c r="AA131" s="41" t="e">
        <v>#N/A</v>
      </c>
      <c r="AB131" s="133" t="e">
        <v>#N/A</v>
      </c>
      <c r="AC131" s="133" t="e">
        <v>#N/A</v>
      </c>
      <c r="AD131" s="133" t="e">
        <v>#N/A</v>
      </c>
      <c r="AE131" s="133" t="e">
        <v>#N/A</v>
      </c>
      <c r="AF131" s="133" t="e">
        <v>#N/A</v>
      </c>
      <c r="AG131" s="133" t="e">
        <v>#N/A</v>
      </c>
      <c r="AH131" s="41" t="e">
        <v>#N/A</v>
      </c>
      <c r="AI131" s="41" t="e">
        <v>#N/A</v>
      </c>
      <c r="AJ131" s="41" t="e">
        <v>#N/A</v>
      </c>
      <c r="AK131" s="41" t="e">
        <v>#N/A</v>
      </c>
      <c r="AL131" s="41" t="e">
        <v>#N/A</v>
      </c>
      <c r="AM131" s="41" t="e">
        <v>#N/A</v>
      </c>
      <c r="AN131" s="41" t="e">
        <v>#N/A</v>
      </c>
      <c r="AO131" s="41" t="e">
        <v>#N/A</v>
      </c>
      <c r="AP131" s="41" t="e">
        <v>#N/A</v>
      </c>
      <c r="AQ131" s="41" t="e">
        <v>#N/A</v>
      </c>
      <c r="AR131" s="41" t="e">
        <v>#N/A</v>
      </c>
      <c r="AS131" s="41" t="e">
        <v>#N/A</v>
      </c>
      <c r="AT131" s="41" t="e">
        <v>#N/A</v>
      </c>
      <c r="AU131" s="41" t="e">
        <v>#N/A</v>
      </c>
      <c r="AV131" s="41" t="e">
        <v>#N/A</v>
      </c>
      <c r="AW131" s="41" t="e">
        <v>#N/A</v>
      </c>
      <c r="AX131" s="41" t="e">
        <v>#N/A</v>
      </c>
      <c r="AY131" s="41" t="e">
        <v>#N/A</v>
      </c>
      <c r="AZ131" s="41" t="e">
        <v>#N/A</v>
      </c>
      <c r="BA131" s="41" t="e">
        <v>#N/A</v>
      </c>
      <c r="BB131" s="41" t="e">
        <v>#N/A</v>
      </c>
      <c r="BC131" s="41" t="e">
        <v>#N/A</v>
      </c>
      <c r="BD131" s="41" t="e">
        <v>#N/A</v>
      </c>
      <c r="BE131" s="41" t="e">
        <v>#N/A</v>
      </c>
      <c r="BF131" s="41" t="e">
        <v>#N/A</v>
      </c>
      <c r="BG131" s="41" t="e">
        <v>#N/A</v>
      </c>
      <c r="BH131" s="41" t="e">
        <v>#N/A</v>
      </c>
      <c r="BI131" s="41" t="e">
        <v>#N/A</v>
      </c>
      <c r="BJ131" s="41" t="e">
        <v>#N/A</v>
      </c>
      <c r="BK131" s="41" t="e">
        <v>#N/A</v>
      </c>
      <c r="BL131" s="41" t="e">
        <v>#N/A</v>
      </c>
      <c r="BM131" s="41" t="e">
        <v>#N/A</v>
      </c>
      <c r="BN131" s="41" t="e">
        <v>#N/A</v>
      </c>
      <c r="BO131" s="41" t="e">
        <v>#N/A</v>
      </c>
      <c r="BP131" s="41" t="e">
        <v>#N/A</v>
      </c>
      <c r="BQ131" s="41" t="e">
        <v>#N/A</v>
      </c>
      <c r="BR131" s="41" t="e">
        <v>#N/A</v>
      </c>
      <c r="BS131" s="41" t="e">
        <v>#N/A</v>
      </c>
      <c r="BT131" s="41" t="e">
        <v>#N/A</v>
      </c>
      <c r="BU131" s="41" t="e">
        <v>#N/A</v>
      </c>
      <c r="BV131" s="41" t="e">
        <v>#N/A</v>
      </c>
      <c r="BW131" s="41" t="e">
        <v>#N/A</v>
      </c>
      <c r="BX131" s="41" t="e">
        <v>#N/A</v>
      </c>
      <c r="BY131" s="41" t="e">
        <v>#N/A</v>
      </c>
      <c r="BZ131" s="41" t="e">
        <v>#N/A</v>
      </c>
      <c r="CA131" s="41" t="e">
        <v>#N/A</v>
      </c>
      <c r="CB131" s="41" t="e">
        <v>#N/A</v>
      </c>
      <c r="CC131" s="41" t="e">
        <v>#N/A</v>
      </c>
      <c r="CD131" s="41" t="e">
        <v>#N/A</v>
      </c>
      <c r="CE131" s="41" t="e">
        <v>#N/A</v>
      </c>
      <c r="CF131" s="41" t="e">
        <v>#N/A</v>
      </c>
      <c r="CG131" s="41" t="e">
        <v>#N/A</v>
      </c>
      <c r="CH131" s="41" t="e">
        <v>#N/A</v>
      </c>
      <c r="CI131" s="41" t="e">
        <v>#N/A</v>
      </c>
      <c r="CJ131" s="41" t="e">
        <v>#N/A</v>
      </c>
      <c r="CK131" s="41" t="e">
        <v>#N/A</v>
      </c>
      <c r="CL131" s="41" t="e">
        <v>#N/A</v>
      </c>
      <c r="CM131" s="41" t="e">
        <v>#N/A</v>
      </c>
      <c r="CN131" s="41" t="e">
        <v>#N/A</v>
      </c>
      <c r="CO131" s="58" t="e">
        <v>#N/A</v>
      </c>
      <c r="CP131" s="41" t="e">
        <v>#N/A</v>
      </c>
      <c r="CQ131" s="41" t="e">
        <v>#N/A</v>
      </c>
      <c r="CR131" s="41" t="e">
        <v>#N/A</v>
      </c>
      <c r="CS131" s="41" t="e">
        <v>#N/A</v>
      </c>
      <c r="CT131" s="41" t="e">
        <v>#N/A</v>
      </c>
      <c r="CU131" s="41" t="e">
        <v>#N/A</v>
      </c>
      <c r="CV131" s="41" t="e">
        <v>#N/A</v>
      </c>
      <c r="CW131" s="41" t="e">
        <v>#N/A</v>
      </c>
      <c r="CX131" s="41" t="e">
        <v>#N/A</v>
      </c>
      <c r="CY131" s="41" t="e">
        <v>#N/A</v>
      </c>
      <c r="CZ131" s="41" t="e">
        <v>#N/A</v>
      </c>
      <c r="DA131" s="41" t="e">
        <v>#N/A</v>
      </c>
      <c r="DB131" s="41" t="e">
        <v>#N/A</v>
      </c>
      <c r="DC131" s="41" t="e">
        <v>#N/A</v>
      </c>
      <c r="DD131" s="41" t="e">
        <v>#N/A</v>
      </c>
      <c r="DE131" s="41" t="e">
        <v>#N/A</v>
      </c>
      <c r="DF131" s="133" t="e">
        <v>#N/A</v>
      </c>
      <c r="DG131" s="41" t="e">
        <v>#N/A</v>
      </c>
      <c r="DH131" s="41" t="e">
        <v>#N/A</v>
      </c>
      <c r="DI131" s="41" t="e">
        <v>#N/A</v>
      </c>
      <c r="DJ131" s="41" t="e">
        <v>#N/A</v>
      </c>
      <c r="DK131" s="41" t="e">
        <v>#N/A</v>
      </c>
      <c r="DL131" s="41" t="e">
        <v>#N/A</v>
      </c>
      <c r="DM131" s="39" t="e">
        <f t="shared" si="2"/>
        <v>#N/A</v>
      </c>
      <c r="DN131" s="41" t="e">
        <v>#N/A</v>
      </c>
    </row>
    <row r="132" spans="1:118" ht="15.75" customHeight="1" x14ac:dyDescent="0.25">
      <c r="A132" s="37">
        <v>127</v>
      </c>
      <c r="C132" s="140">
        <v>7951</v>
      </c>
      <c r="D132" s="133" t="e">
        <v>#N/A</v>
      </c>
      <c r="E132" s="41" t="e">
        <v>#N/A</v>
      </c>
      <c r="F132" s="133" t="e">
        <v>#N/A</v>
      </c>
      <c r="G132" s="133" t="e">
        <v>#N/A</v>
      </c>
      <c r="H132" s="133" t="e">
        <v>#N/A</v>
      </c>
      <c r="I132" s="41" t="e">
        <v>#N/A</v>
      </c>
      <c r="J132" s="133" t="e">
        <v>#N/A</v>
      </c>
      <c r="K132" s="133" t="e">
        <v>#N/A</v>
      </c>
      <c r="L132" s="133" t="e">
        <v>#N/A</v>
      </c>
      <c r="M132" s="133" t="e">
        <v>#N/A</v>
      </c>
      <c r="N132" s="133" t="e">
        <v>#N/A</v>
      </c>
      <c r="O132" s="133" t="e">
        <v>#N/A</v>
      </c>
      <c r="P132" s="133" t="e">
        <v>#N/A</v>
      </c>
      <c r="Q132" s="133" t="e">
        <v>#N/A</v>
      </c>
      <c r="R132" s="41" t="e">
        <v>#N/A</v>
      </c>
      <c r="S132" s="41" t="e">
        <v>#N/A</v>
      </c>
      <c r="T132" s="41" t="e">
        <v>#N/A</v>
      </c>
      <c r="U132" s="41" t="e">
        <v>#N/A</v>
      </c>
      <c r="V132" s="41" t="e">
        <v>#N/A</v>
      </c>
      <c r="W132" s="41" t="e">
        <v>#N/A</v>
      </c>
      <c r="X132" s="41" t="e">
        <v>#N/A</v>
      </c>
      <c r="Y132" s="41" t="e">
        <v>#N/A</v>
      </c>
      <c r="Z132" s="41" t="e">
        <v>#N/A</v>
      </c>
      <c r="AA132" s="41" t="e">
        <v>#N/A</v>
      </c>
      <c r="AB132" s="133" t="e">
        <v>#N/A</v>
      </c>
      <c r="AC132" s="133" t="e">
        <v>#N/A</v>
      </c>
      <c r="AD132" s="133" t="e">
        <v>#N/A</v>
      </c>
      <c r="AE132" s="133" t="e">
        <v>#N/A</v>
      </c>
      <c r="AF132" s="133" t="e">
        <v>#N/A</v>
      </c>
      <c r="AG132" s="133" t="e">
        <v>#N/A</v>
      </c>
      <c r="AH132" s="41" t="e">
        <v>#N/A</v>
      </c>
      <c r="AI132" s="41" t="e">
        <v>#N/A</v>
      </c>
      <c r="AJ132" s="41" t="e">
        <v>#N/A</v>
      </c>
      <c r="AK132" s="41" t="e">
        <v>#N/A</v>
      </c>
      <c r="AL132" s="41" t="e">
        <v>#N/A</v>
      </c>
      <c r="AM132" s="41" t="e">
        <v>#N/A</v>
      </c>
      <c r="AN132" s="41" t="e">
        <v>#N/A</v>
      </c>
      <c r="AO132" s="41" t="e">
        <v>#N/A</v>
      </c>
      <c r="AP132" s="41" t="e">
        <v>#N/A</v>
      </c>
      <c r="AQ132" s="41" t="e">
        <v>#N/A</v>
      </c>
      <c r="AR132" s="41" t="e">
        <v>#N/A</v>
      </c>
      <c r="AS132" s="41" t="e">
        <v>#N/A</v>
      </c>
      <c r="AT132" s="41" t="e">
        <v>#N/A</v>
      </c>
      <c r="AU132" s="41" t="e">
        <v>#N/A</v>
      </c>
      <c r="AV132" s="41" t="e">
        <v>#N/A</v>
      </c>
      <c r="AW132" s="41" t="e">
        <v>#N/A</v>
      </c>
      <c r="AX132" s="41" t="e">
        <v>#N/A</v>
      </c>
      <c r="AY132" s="41" t="e">
        <v>#N/A</v>
      </c>
      <c r="AZ132" s="41" t="e">
        <v>#N/A</v>
      </c>
      <c r="BA132" s="41" t="e">
        <v>#N/A</v>
      </c>
      <c r="BB132" s="41" t="e">
        <v>#N/A</v>
      </c>
      <c r="BC132" s="41" t="e">
        <v>#N/A</v>
      </c>
      <c r="BD132" s="41" t="e">
        <v>#N/A</v>
      </c>
      <c r="BE132" s="41" t="e">
        <v>#N/A</v>
      </c>
      <c r="BF132" s="41" t="e">
        <v>#N/A</v>
      </c>
      <c r="BG132" s="41" t="e">
        <v>#N/A</v>
      </c>
      <c r="BH132" s="41" t="e">
        <v>#N/A</v>
      </c>
      <c r="BI132" s="41" t="e">
        <v>#N/A</v>
      </c>
      <c r="BJ132" s="41" t="e">
        <v>#N/A</v>
      </c>
      <c r="BK132" s="41" t="e">
        <v>#N/A</v>
      </c>
      <c r="BL132" s="41" t="e">
        <v>#N/A</v>
      </c>
      <c r="BM132" s="41" t="e">
        <v>#N/A</v>
      </c>
      <c r="BN132" s="41" t="e">
        <v>#N/A</v>
      </c>
      <c r="BO132" s="41" t="e">
        <v>#N/A</v>
      </c>
      <c r="BP132" s="41" t="e">
        <v>#N/A</v>
      </c>
      <c r="BQ132" s="41" t="e">
        <v>#N/A</v>
      </c>
      <c r="BR132" s="41" t="e">
        <v>#N/A</v>
      </c>
      <c r="BS132" s="41" t="e">
        <v>#N/A</v>
      </c>
      <c r="BT132" s="41" t="e">
        <v>#N/A</v>
      </c>
      <c r="BU132" s="41" t="e">
        <v>#N/A</v>
      </c>
      <c r="BV132" s="41" t="e">
        <v>#N/A</v>
      </c>
      <c r="BW132" s="41" t="e">
        <v>#N/A</v>
      </c>
      <c r="BX132" s="41" t="e">
        <v>#N/A</v>
      </c>
      <c r="BY132" s="41" t="e">
        <v>#N/A</v>
      </c>
      <c r="BZ132" s="41" t="e">
        <v>#N/A</v>
      </c>
      <c r="CA132" s="41" t="e">
        <v>#N/A</v>
      </c>
      <c r="CB132" s="41" t="e">
        <v>#N/A</v>
      </c>
      <c r="CC132" s="41" t="e">
        <v>#N/A</v>
      </c>
      <c r="CD132" s="41" t="e">
        <v>#N/A</v>
      </c>
      <c r="CE132" s="41" t="e">
        <v>#N/A</v>
      </c>
      <c r="CF132" s="41" t="e">
        <v>#N/A</v>
      </c>
      <c r="CG132" s="41" t="e">
        <v>#N/A</v>
      </c>
      <c r="CH132" s="41" t="e">
        <v>#N/A</v>
      </c>
      <c r="CI132" s="41" t="e">
        <v>#N/A</v>
      </c>
      <c r="CJ132" s="41" t="e">
        <v>#N/A</v>
      </c>
      <c r="CK132" s="41" t="e">
        <v>#N/A</v>
      </c>
      <c r="CL132" s="41" t="e">
        <v>#N/A</v>
      </c>
      <c r="CM132" s="41" t="e">
        <v>#N/A</v>
      </c>
      <c r="CN132" s="41" t="e">
        <v>#N/A</v>
      </c>
      <c r="CO132" s="58" t="e">
        <v>#N/A</v>
      </c>
      <c r="CP132" s="41" t="e">
        <v>#N/A</v>
      </c>
      <c r="CQ132" s="41" t="e">
        <v>#N/A</v>
      </c>
      <c r="CR132" s="41" t="e">
        <v>#N/A</v>
      </c>
      <c r="CS132" s="41" t="e">
        <v>#N/A</v>
      </c>
      <c r="CT132" s="41" t="e">
        <v>#N/A</v>
      </c>
      <c r="CU132" s="41" t="e">
        <v>#N/A</v>
      </c>
      <c r="CV132" s="41" t="e">
        <v>#N/A</v>
      </c>
      <c r="CW132" s="41" t="e">
        <v>#N/A</v>
      </c>
      <c r="CX132" s="41" t="e">
        <v>#N/A</v>
      </c>
      <c r="CY132" s="41" t="e">
        <v>#N/A</v>
      </c>
      <c r="CZ132" s="41" t="e">
        <v>#N/A</v>
      </c>
      <c r="DA132" s="41" t="e">
        <v>#N/A</v>
      </c>
      <c r="DB132" s="41" t="e">
        <v>#N/A</v>
      </c>
      <c r="DC132" s="41" t="e">
        <v>#N/A</v>
      </c>
      <c r="DD132" s="41" t="e">
        <v>#N/A</v>
      </c>
      <c r="DE132" s="41" t="e">
        <v>#N/A</v>
      </c>
      <c r="DF132" s="133" t="e">
        <v>#N/A</v>
      </c>
      <c r="DG132" s="41" t="e">
        <v>#N/A</v>
      </c>
      <c r="DH132" s="41" t="e">
        <v>#N/A</v>
      </c>
      <c r="DI132" s="41" t="e">
        <v>#N/A</v>
      </c>
      <c r="DJ132" s="41" t="e">
        <v>#N/A</v>
      </c>
      <c r="DK132" s="41" t="e">
        <v>#N/A</v>
      </c>
      <c r="DL132" s="41" t="e">
        <v>#N/A</v>
      </c>
      <c r="DM132" s="39" t="e">
        <f t="shared" si="2"/>
        <v>#N/A</v>
      </c>
      <c r="DN132" s="41" t="e">
        <v>#N/A</v>
      </c>
    </row>
    <row r="133" spans="1:118" ht="15.75" customHeight="1" x14ac:dyDescent="0.25">
      <c r="A133" s="37">
        <v>128</v>
      </c>
      <c r="C133" s="140">
        <v>3129</v>
      </c>
      <c r="D133" s="133" t="e">
        <v>#N/A</v>
      </c>
      <c r="E133" s="41" t="e">
        <v>#N/A</v>
      </c>
      <c r="F133" s="133" t="e">
        <v>#N/A</v>
      </c>
      <c r="G133" s="133" t="e">
        <v>#N/A</v>
      </c>
      <c r="H133" s="133" t="e">
        <v>#N/A</v>
      </c>
      <c r="I133" s="41" t="e">
        <v>#N/A</v>
      </c>
      <c r="J133" s="133" t="e">
        <v>#N/A</v>
      </c>
      <c r="K133" s="133" t="e">
        <v>#N/A</v>
      </c>
      <c r="L133" s="133" t="e">
        <v>#N/A</v>
      </c>
      <c r="M133" s="133" t="e">
        <v>#N/A</v>
      </c>
      <c r="N133" s="133" t="e">
        <v>#N/A</v>
      </c>
      <c r="O133" s="133" t="e">
        <v>#N/A</v>
      </c>
      <c r="P133" s="133" t="e">
        <v>#N/A</v>
      </c>
      <c r="Q133" s="133" t="e">
        <v>#N/A</v>
      </c>
      <c r="R133" s="41" t="e">
        <v>#N/A</v>
      </c>
      <c r="S133" s="41" t="e">
        <v>#N/A</v>
      </c>
      <c r="T133" s="41" t="e">
        <v>#N/A</v>
      </c>
      <c r="U133" s="41" t="e">
        <v>#N/A</v>
      </c>
      <c r="V133" s="41" t="e">
        <v>#N/A</v>
      </c>
      <c r="W133" s="41" t="e">
        <v>#N/A</v>
      </c>
      <c r="X133" s="41" t="e">
        <v>#N/A</v>
      </c>
      <c r="Y133" s="41" t="e">
        <v>#N/A</v>
      </c>
      <c r="Z133" s="41" t="e">
        <v>#N/A</v>
      </c>
      <c r="AA133" s="41" t="e">
        <v>#N/A</v>
      </c>
      <c r="AB133" s="133" t="e">
        <v>#N/A</v>
      </c>
      <c r="AC133" s="133" t="e">
        <v>#N/A</v>
      </c>
      <c r="AD133" s="133" t="e">
        <v>#N/A</v>
      </c>
      <c r="AE133" s="133" t="e">
        <v>#N/A</v>
      </c>
      <c r="AF133" s="133" t="e">
        <v>#N/A</v>
      </c>
      <c r="AG133" s="133" t="e">
        <v>#N/A</v>
      </c>
      <c r="AH133" s="41" t="e">
        <v>#N/A</v>
      </c>
      <c r="AI133" s="41" t="e">
        <v>#N/A</v>
      </c>
      <c r="AJ133" s="41" t="e">
        <v>#N/A</v>
      </c>
      <c r="AK133" s="41" t="e">
        <v>#N/A</v>
      </c>
      <c r="AL133" s="41" t="e">
        <v>#N/A</v>
      </c>
      <c r="AM133" s="41" t="e">
        <v>#N/A</v>
      </c>
      <c r="AN133" s="41" t="e">
        <v>#N/A</v>
      </c>
      <c r="AO133" s="41" t="e">
        <v>#N/A</v>
      </c>
      <c r="AP133" s="41" t="e">
        <v>#N/A</v>
      </c>
      <c r="AQ133" s="41" t="e">
        <v>#N/A</v>
      </c>
      <c r="AR133" s="41" t="e">
        <v>#N/A</v>
      </c>
      <c r="AS133" s="41" t="e">
        <v>#N/A</v>
      </c>
      <c r="AT133" s="41" t="e">
        <v>#N/A</v>
      </c>
      <c r="AU133" s="41" t="e">
        <v>#N/A</v>
      </c>
      <c r="AV133" s="41" t="e">
        <v>#N/A</v>
      </c>
      <c r="AW133" s="41" t="e">
        <v>#N/A</v>
      </c>
      <c r="AX133" s="41" t="e">
        <v>#N/A</v>
      </c>
      <c r="AY133" s="41" t="e">
        <v>#N/A</v>
      </c>
      <c r="AZ133" s="41" t="e">
        <v>#N/A</v>
      </c>
      <c r="BA133" s="41" t="e">
        <v>#N/A</v>
      </c>
      <c r="BB133" s="41" t="e">
        <v>#N/A</v>
      </c>
      <c r="BC133" s="41" t="e">
        <v>#N/A</v>
      </c>
      <c r="BD133" s="41" t="e">
        <v>#N/A</v>
      </c>
      <c r="BE133" s="41" t="e">
        <v>#N/A</v>
      </c>
      <c r="BF133" s="41" t="e">
        <v>#N/A</v>
      </c>
      <c r="BG133" s="41" t="e">
        <v>#N/A</v>
      </c>
      <c r="BH133" s="41" t="e">
        <v>#N/A</v>
      </c>
      <c r="BI133" s="41" t="e">
        <v>#N/A</v>
      </c>
      <c r="BJ133" s="41" t="e">
        <v>#N/A</v>
      </c>
      <c r="BK133" s="41" t="e">
        <v>#N/A</v>
      </c>
      <c r="BL133" s="41" t="e">
        <v>#N/A</v>
      </c>
      <c r="BM133" s="41" t="e">
        <v>#N/A</v>
      </c>
      <c r="BN133" s="41" t="e">
        <v>#N/A</v>
      </c>
      <c r="BO133" s="41" t="e">
        <v>#N/A</v>
      </c>
      <c r="BP133" s="41" t="e">
        <v>#N/A</v>
      </c>
      <c r="BQ133" s="41" t="e">
        <v>#N/A</v>
      </c>
      <c r="BR133" s="41" t="e">
        <v>#N/A</v>
      </c>
      <c r="BS133" s="41" t="e">
        <v>#N/A</v>
      </c>
      <c r="BT133" s="41" t="e">
        <v>#N/A</v>
      </c>
      <c r="BU133" s="41" t="e">
        <v>#N/A</v>
      </c>
      <c r="BV133" s="41" t="e">
        <v>#N/A</v>
      </c>
      <c r="BW133" s="41" t="e">
        <v>#N/A</v>
      </c>
      <c r="BX133" s="41" t="e">
        <v>#N/A</v>
      </c>
      <c r="BY133" s="41" t="e">
        <v>#N/A</v>
      </c>
      <c r="BZ133" s="41" t="e">
        <v>#N/A</v>
      </c>
      <c r="CA133" s="41" t="e">
        <v>#N/A</v>
      </c>
      <c r="CB133" s="41" t="e">
        <v>#N/A</v>
      </c>
      <c r="CC133" s="41" t="e">
        <v>#N/A</v>
      </c>
      <c r="CD133" s="41" t="e">
        <v>#N/A</v>
      </c>
      <c r="CE133" s="41" t="e">
        <v>#N/A</v>
      </c>
      <c r="CF133" s="41" t="e">
        <v>#N/A</v>
      </c>
      <c r="CG133" s="41" t="e">
        <v>#N/A</v>
      </c>
      <c r="CH133" s="41" t="e">
        <v>#N/A</v>
      </c>
      <c r="CI133" s="41" t="e">
        <v>#N/A</v>
      </c>
      <c r="CJ133" s="41" t="e">
        <v>#N/A</v>
      </c>
      <c r="CK133" s="41" t="e">
        <v>#N/A</v>
      </c>
      <c r="CL133" s="41" t="e">
        <v>#N/A</v>
      </c>
      <c r="CM133" s="41" t="e">
        <v>#N/A</v>
      </c>
      <c r="CN133" s="41" t="e">
        <v>#N/A</v>
      </c>
      <c r="CO133" s="58" t="e">
        <v>#N/A</v>
      </c>
      <c r="CP133" s="41" t="e">
        <v>#N/A</v>
      </c>
      <c r="CQ133" s="41" t="e">
        <v>#N/A</v>
      </c>
      <c r="CR133" s="41" t="e">
        <v>#N/A</v>
      </c>
      <c r="CS133" s="41" t="e">
        <v>#N/A</v>
      </c>
      <c r="CT133" s="41" t="e">
        <v>#N/A</v>
      </c>
      <c r="CU133" s="41" t="e">
        <v>#N/A</v>
      </c>
      <c r="CV133" s="41" t="e">
        <v>#N/A</v>
      </c>
      <c r="CW133" s="41" t="e">
        <v>#N/A</v>
      </c>
      <c r="CX133" s="41" t="e">
        <v>#N/A</v>
      </c>
      <c r="CY133" s="41" t="e">
        <v>#N/A</v>
      </c>
      <c r="CZ133" s="41" t="e">
        <v>#N/A</v>
      </c>
      <c r="DA133" s="41" t="e">
        <v>#N/A</v>
      </c>
      <c r="DB133" s="41" t="e">
        <v>#N/A</v>
      </c>
      <c r="DC133" s="41" t="e">
        <v>#N/A</v>
      </c>
      <c r="DD133" s="41" t="e">
        <v>#N/A</v>
      </c>
      <c r="DE133" s="41" t="e">
        <v>#N/A</v>
      </c>
      <c r="DF133" s="133" t="e">
        <v>#N/A</v>
      </c>
      <c r="DG133" s="41" t="e">
        <v>#N/A</v>
      </c>
      <c r="DH133" s="41" t="e">
        <v>#N/A</v>
      </c>
      <c r="DI133" s="41" t="e">
        <v>#N/A</v>
      </c>
      <c r="DJ133" s="41" t="e">
        <v>#N/A</v>
      </c>
      <c r="DK133" s="41" t="e">
        <v>#N/A</v>
      </c>
      <c r="DL133" s="41" t="e">
        <v>#N/A</v>
      </c>
      <c r="DM133" s="39" t="e">
        <f t="shared" si="2"/>
        <v>#N/A</v>
      </c>
      <c r="DN133" s="41" t="e">
        <v>#N/A</v>
      </c>
    </row>
    <row r="134" spans="1:118" ht="15.75" customHeight="1" x14ac:dyDescent="0.25">
      <c r="A134" s="37">
        <v>129</v>
      </c>
      <c r="C134" s="140">
        <v>3114</v>
      </c>
      <c r="D134" s="133" t="e">
        <v>#N/A</v>
      </c>
      <c r="E134" s="41" t="e">
        <v>#N/A</v>
      </c>
      <c r="F134" s="133" t="e">
        <v>#N/A</v>
      </c>
      <c r="G134" s="133" t="e">
        <v>#N/A</v>
      </c>
      <c r="H134" s="133" t="e">
        <v>#N/A</v>
      </c>
      <c r="I134" s="41" t="e">
        <v>#N/A</v>
      </c>
      <c r="J134" s="133" t="e">
        <v>#N/A</v>
      </c>
      <c r="K134" s="133" t="e">
        <v>#N/A</v>
      </c>
      <c r="L134" s="133" t="e">
        <v>#N/A</v>
      </c>
      <c r="M134" s="133" t="e">
        <v>#N/A</v>
      </c>
      <c r="N134" s="133" t="e">
        <v>#N/A</v>
      </c>
      <c r="O134" s="133" t="e">
        <v>#N/A</v>
      </c>
      <c r="P134" s="133" t="e">
        <v>#N/A</v>
      </c>
      <c r="Q134" s="133" t="e">
        <v>#N/A</v>
      </c>
      <c r="R134" s="41" t="e">
        <v>#N/A</v>
      </c>
      <c r="S134" s="41" t="e">
        <v>#N/A</v>
      </c>
      <c r="T134" s="41" t="e">
        <v>#N/A</v>
      </c>
      <c r="U134" s="41" t="e">
        <v>#N/A</v>
      </c>
      <c r="V134" s="41" t="e">
        <v>#N/A</v>
      </c>
      <c r="W134" s="41" t="e">
        <v>#N/A</v>
      </c>
      <c r="X134" s="41" t="e">
        <v>#N/A</v>
      </c>
      <c r="Y134" s="41" t="e">
        <v>#N/A</v>
      </c>
      <c r="Z134" s="41" t="e">
        <v>#N/A</v>
      </c>
      <c r="AA134" s="41" t="e">
        <v>#N/A</v>
      </c>
      <c r="AB134" s="133" t="e">
        <v>#N/A</v>
      </c>
      <c r="AC134" s="133" t="e">
        <v>#N/A</v>
      </c>
      <c r="AD134" s="133" t="e">
        <v>#N/A</v>
      </c>
      <c r="AE134" s="133" t="e">
        <v>#N/A</v>
      </c>
      <c r="AF134" s="133" t="e">
        <v>#N/A</v>
      </c>
      <c r="AG134" s="133" t="e">
        <v>#N/A</v>
      </c>
      <c r="AH134" s="41" t="e">
        <v>#N/A</v>
      </c>
      <c r="AI134" s="41" t="e">
        <v>#N/A</v>
      </c>
      <c r="AJ134" s="41" t="e">
        <v>#N/A</v>
      </c>
      <c r="AK134" s="41" t="e">
        <v>#N/A</v>
      </c>
      <c r="AL134" s="41" t="e">
        <v>#N/A</v>
      </c>
      <c r="AM134" s="41" t="e">
        <v>#N/A</v>
      </c>
      <c r="AN134" s="41" t="e">
        <v>#N/A</v>
      </c>
      <c r="AO134" s="41" t="e">
        <v>#N/A</v>
      </c>
      <c r="AP134" s="41" t="e">
        <v>#N/A</v>
      </c>
      <c r="AQ134" s="41" t="e">
        <v>#N/A</v>
      </c>
      <c r="AR134" s="41" t="e">
        <v>#N/A</v>
      </c>
      <c r="AS134" s="41" t="e">
        <v>#N/A</v>
      </c>
      <c r="AT134" s="41" t="e">
        <v>#N/A</v>
      </c>
      <c r="AU134" s="41" t="e">
        <v>#N/A</v>
      </c>
      <c r="AV134" s="41" t="e">
        <v>#N/A</v>
      </c>
      <c r="AW134" s="41" t="e">
        <v>#N/A</v>
      </c>
      <c r="AX134" s="41" t="e">
        <v>#N/A</v>
      </c>
      <c r="AY134" s="41" t="e">
        <v>#N/A</v>
      </c>
      <c r="AZ134" s="41" t="e">
        <v>#N/A</v>
      </c>
      <c r="BA134" s="41" t="e">
        <v>#N/A</v>
      </c>
      <c r="BB134" s="41" t="e">
        <v>#N/A</v>
      </c>
      <c r="BC134" s="41" t="e">
        <v>#N/A</v>
      </c>
      <c r="BD134" s="41" t="e">
        <v>#N/A</v>
      </c>
      <c r="BE134" s="41" t="e">
        <v>#N/A</v>
      </c>
      <c r="BF134" s="41" t="e">
        <v>#N/A</v>
      </c>
      <c r="BG134" s="41" t="e">
        <v>#N/A</v>
      </c>
      <c r="BH134" s="41" t="e">
        <v>#N/A</v>
      </c>
      <c r="BI134" s="41" t="e">
        <v>#N/A</v>
      </c>
      <c r="BJ134" s="41" t="e">
        <v>#N/A</v>
      </c>
      <c r="BK134" s="41" t="e">
        <v>#N/A</v>
      </c>
      <c r="BL134" s="41" t="e">
        <v>#N/A</v>
      </c>
      <c r="BM134" s="41" t="e">
        <v>#N/A</v>
      </c>
      <c r="BN134" s="41" t="e">
        <v>#N/A</v>
      </c>
      <c r="BO134" s="41" t="e">
        <v>#N/A</v>
      </c>
      <c r="BP134" s="41" t="e">
        <v>#N/A</v>
      </c>
      <c r="BQ134" s="41" t="e">
        <v>#N/A</v>
      </c>
      <c r="BR134" s="41" t="e">
        <v>#N/A</v>
      </c>
      <c r="BS134" s="41" t="e">
        <v>#N/A</v>
      </c>
      <c r="BT134" s="41" t="e">
        <v>#N/A</v>
      </c>
      <c r="BU134" s="41" t="e">
        <v>#N/A</v>
      </c>
      <c r="BV134" s="41" t="e">
        <v>#N/A</v>
      </c>
      <c r="BW134" s="41" t="e">
        <v>#N/A</v>
      </c>
      <c r="BX134" s="41" t="e">
        <v>#N/A</v>
      </c>
      <c r="BY134" s="41" t="e">
        <v>#N/A</v>
      </c>
      <c r="BZ134" s="41" t="e">
        <v>#N/A</v>
      </c>
      <c r="CA134" s="41" t="e">
        <v>#N/A</v>
      </c>
      <c r="CB134" s="41" t="e">
        <v>#N/A</v>
      </c>
      <c r="CC134" s="41" t="e">
        <v>#N/A</v>
      </c>
      <c r="CD134" s="41" t="e">
        <v>#N/A</v>
      </c>
      <c r="CE134" s="41" t="e">
        <v>#N/A</v>
      </c>
      <c r="CF134" s="41" t="e">
        <v>#N/A</v>
      </c>
      <c r="CG134" s="41" t="e">
        <v>#N/A</v>
      </c>
      <c r="CH134" s="41" t="e">
        <v>#N/A</v>
      </c>
      <c r="CI134" s="41" t="e">
        <v>#N/A</v>
      </c>
      <c r="CJ134" s="41" t="e">
        <v>#N/A</v>
      </c>
      <c r="CK134" s="41" t="e">
        <v>#N/A</v>
      </c>
      <c r="CL134" s="41" t="e">
        <v>#N/A</v>
      </c>
      <c r="CM134" s="41" t="e">
        <v>#N/A</v>
      </c>
      <c r="CN134" s="41" t="e">
        <v>#N/A</v>
      </c>
      <c r="CO134" s="58" t="e">
        <v>#N/A</v>
      </c>
      <c r="CP134" s="41" t="e">
        <v>#N/A</v>
      </c>
      <c r="CQ134" s="41" t="e">
        <v>#N/A</v>
      </c>
      <c r="CR134" s="41" t="e">
        <v>#N/A</v>
      </c>
      <c r="CS134" s="41" t="e">
        <v>#N/A</v>
      </c>
      <c r="CT134" s="41" t="e">
        <v>#N/A</v>
      </c>
      <c r="CU134" s="41" t="e">
        <v>#N/A</v>
      </c>
      <c r="CV134" s="41" t="e">
        <v>#N/A</v>
      </c>
      <c r="CW134" s="41" t="e">
        <v>#N/A</v>
      </c>
      <c r="CX134" s="41" t="e">
        <v>#N/A</v>
      </c>
      <c r="CY134" s="41" t="e">
        <v>#N/A</v>
      </c>
      <c r="CZ134" s="41" t="e">
        <v>#N/A</v>
      </c>
      <c r="DA134" s="41" t="e">
        <v>#N/A</v>
      </c>
      <c r="DB134" s="41" t="e">
        <v>#N/A</v>
      </c>
      <c r="DC134" s="41" t="e">
        <v>#N/A</v>
      </c>
      <c r="DD134" s="41" t="e">
        <v>#N/A</v>
      </c>
      <c r="DE134" s="41" t="e">
        <v>#N/A</v>
      </c>
      <c r="DF134" s="133" t="e">
        <v>#N/A</v>
      </c>
      <c r="DG134" s="41" t="e">
        <v>#N/A</v>
      </c>
      <c r="DH134" s="41" t="e">
        <v>#N/A</v>
      </c>
      <c r="DI134" s="41" t="e">
        <v>#N/A</v>
      </c>
      <c r="DJ134" s="41" t="e">
        <v>#N/A</v>
      </c>
      <c r="DK134" s="41" t="e">
        <v>#N/A</v>
      </c>
      <c r="DL134" s="41" t="e">
        <v>#N/A</v>
      </c>
      <c r="DM134" s="39" t="e">
        <f t="shared" si="2"/>
        <v>#N/A</v>
      </c>
      <c r="DN134" s="41" t="e">
        <v>#N/A</v>
      </c>
    </row>
    <row r="135" spans="1:118" ht="15.75" customHeight="1" x14ac:dyDescent="0.25">
      <c r="A135" s="37">
        <v>130</v>
      </c>
      <c r="C135" s="140">
        <v>6768</v>
      </c>
      <c r="D135" s="133" t="e">
        <v>#N/A</v>
      </c>
      <c r="E135" s="41" t="e">
        <v>#N/A</v>
      </c>
      <c r="F135" s="133" t="e">
        <v>#N/A</v>
      </c>
      <c r="G135" s="133" t="e">
        <v>#N/A</v>
      </c>
      <c r="H135" s="133" t="e">
        <v>#N/A</v>
      </c>
      <c r="I135" s="41" t="e">
        <v>#N/A</v>
      </c>
      <c r="J135" s="133" t="e">
        <v>#N/A</v>
      </c>
      <c r="K135" s="133" t="e">
        <v>#N/A</v>
      </c>
      <c r="L135" s="133" t="e">
        <v>#N/A</v>
      </c>
      <c r="M135" s="133" t="e">
        <v>#N/A</v>
      </c>
      <c r="N135" s="133" t="e">
        <v>#N/A</v>
      </c>
      <c r="O135" s="133" t="e">
        <v>#N/A</v>
      </c>
      <c r="P135" s="133" t="e">
        <v>#N/A</v>
      </c>
      <c r="Q135" s="133" t="e">
        <v>#N/A</v>
      </c>
      <c r="R135" s="41" t="e">
        <v>#N/A</v>
      </c>
      <c r="S135" s="41" t="e">
        <v>#N/A</v>
      </c>
      <c r="T135" s="41" t="e">
        <v>#N/A</v>
      </c>
      <c r="U135" s="41" t="e">
        <v>#N/A</v>
      </c>
      <c r="V135" s="41" t="e">
        <v>#N/A</v>
      </c>
      <c r="W135" s="41" t="e">
        <v>#N/A</v>
      </c>
      <c r="X135" s="41" t="e">
        <v>#N/A</v>
      </c>
      <c r="Y135" s="41" t="e">
        <v>#N/A</v>
      </c>
      <c r="Z135" s="41" t="e">
        <v>#N/A</v>
      </c>
      <c r="AA135" s="41" t="e">
        <v>#N/A</v>
      </c>
      <c r="AB135" s="133" t="e">
        <v>#N/A</v>
      </c>
      <c r="AC135" s="133" t="e">
        <v>#N/A</v>
      </c>
      <c r="AD135" s="133" t="e">
        <v>#N/A</v>
      </c>
      <c r="AE135" s="133" t="e">
        <v>#N/A</v>
      </c>
      <c r="AF135" s="133" t="e">
        <v>#N/A</v>
      </c>
      <c r="AG135" s="133" t="e">
        <v>#N/A</v>
      </c>
      <c r="AH135" s="41" t="e">
        <v>#N/A</v>
      </c>
      <c r="AI135" s="41" t="e">
        <v>#N/A</v>
      </c>
      <c r="AJ135" s="41" t="e">
        <v>#N/A</v>
      </c>
      <c r="AK135" s="41" t="e">
        <v>#N/A</v>
      </c>
      <c r="AL135" s="41" t="e">
        <v>#N/A</v>
      </c>
      <c r="AM135" s="41" t="e">
        <v>#N/A</v>
      </c>
      <c r="AN135" s="41" t="e">
        <v>#N/A</v>
      </c>
      <c r="AO135" s="41" t="e">
        <v>#N/A</v>
      </c>
      <c r="AP135" s="41" t="e">
        <v>#N/A</v>
      </c>
      <c r="AQ135" s="41" t="e">
        <v>#N/A</v>
      </c>
      <c r="AR135" s="41" t="e">
        <v>#N/A</v>
      </c>
      <c r="AS135" s="41" t="e">
        <v>#N/A</v>
      </c>
      <c r="AT135" s="41" t="e">
        <v>#N/A</v>
      </c>
      <c r="AU135" s="41" t="e">
        <v>#N/A</v>
      </c>
      <c r="AV135" s="41" t="e">
        <v>#N/A</v>
      </c>
      <c r="AW135" s="41" t="e">
        <v>#N/A</v>
      </c>
      <c r="AX135" s="41" t="e">
        <v>#N/A</v>
      </c>
      <c r="AY135" s="41" t="e">
        <v>#N/A</v>
      </c>
      <c r="AZ135" s="41" t="e">
        <v>#N/A</v>
      </c>
      <c r="BA135" s="41" t="e">
        <v>#N/A</v>
      </c>
      <c r="BB135" s="41" t="e">
        <v>#N/A</v>
      </c>
      <c r="BC135" s="41" t="e">
        <v>#N/A</v>
      </c>
      <c r="BD135" s="41" t="e">
        <v>#N/A</v>
      </c>
      <c r="BE135" s="41" t="e">
        <v>#N/A</v>
      </c>
      <c r="BF135" s="41" t="e">
        <v>#N/A</v>
      </c>
      <c r="BG135" s="41" t="e">
        <v>#N/A</v>
      </c>
      <c r="BH135" s="41" t="e">
        <v>#N/A</v>
      </c>
      <c r="BI135" s="41" t="e">
        <v>#N/A</v>
      </c>
      <c r="BJ135" s="41" t="e">
        <v>#N/A</v>
      </c>
      <c r="BK135" s="41" t="e">
        <v>#N/A</v>
      </c>
      <c r="BL135" s="41" t="e">
        <v>#N/A</v>
      </c>
      <c r="BM135" s="41" t="e">
        <v>#N/A</v>
      </c>
      <c r="BN135" s="41" t="e">
        <v>#N/A</v>
      </c>
      <c r="BO135" s="41" t="e">
        <v>#N/A</v>
      </c>
      <c r="BP135" s="41" t="e">
        <v>#N/A</v>
      </c>
      <c r="BQ135" s="41" t="e">
        <v>#N/A</v>
      </c>
      <c r="BR135" s="41" t="e">
        <v>#N/A</v>
      </c>
      <c r="BS135" s="41" t="e">
        <v>#N/A</v>
      </c>
      <c r="BT135" s="41" t="e">
        <v>#N/A</v>
      </c>
      <c r="BU135" s="41" t="e">
        <v>#N/A</v>
      </c>
      <c r="BV135" s="41" t="e">
        <v>#N/A</v>
      </c>
      <c r="BW135" s="41" t="e">
        <v>#N/A</v>
      </c>
      <c r="BX135" s="41" t="e">
        <v>#N/A</v>
      </c>
      <c r="BY135" s="41" t="e">
        <v>#N/A</v>
      </c>
      <c r="BZ135" s="41" t="e">
        <v>#N/A</v>
      </c>
      <c r="CA135" s="41" t="e">
        <v>#N/A</v>
      </c>
      <c r="CB135" s="41" t="e">
        <v>#N/A</v>
      </c>
      <c r="CC135" s="41" t="e">
        <v>#N/A</v>
      </c>
      <c r="CD135" s="41" t="e">
        <v>#N/A</v>
      </c>
      <c r="CE135" s="41" t="e">
        <v>#N/A</v>
      </c>
      <c r="CF135" s="41" t="e">
        <v>#N/A</v>
      </c>
      <c r="CG135" s="41" t="e">
        <v>#N/A</v>
      </c>
      <c r="CH135" s="41" t="e">
        <v>#N/A</v>
      </c>
      <c r="CI135" s="41" t="e">
        <v>#N/A</v>
      </c>
      <c r="CJ135" s="41" t="e">
        <v>#N/A</v>
      </c>
      <c r="CK135" s="41" t="e">
        <v>#N/A</v>
      </c>
      <c r="CL135" s="41" t="e">
        <v>#N/A</v>
      </c>
      <c r="CM135" s="41" t="e">
        <v>#N/A</v>
      </c>
      <c r="CN135" s="41" t="e">
        <v>#N/A</v>
      </c>
      <c r="CO135" s="58" t="e">
        <v>#N/A</v>
      </c>
      <c r="CP135" s="41" t="e">
        <v>#N/A</v>
      </c>
      <c r="CQ135" s="41" t="e">
        <v>#N/A</v>
      </c>
      <c r="CR135" s="41" t="e">
        <v>#N/A</v>
      </c>
      <c r="CS135" s="41" t="e">
        <v>#N/A</v>
      </c>
      <c r="CT135" s="41" t="e">
        <v>#N/A</v>
      </c>
      <c r="CU135" s="41" t="e">
        <v>#N/A</v>
      </c>
      <c r="CV135" s="41" t="e">
        <v>#N/A</v>
      </c>
      <c r="CW135" s="41" t="e">
        <v>#N/A</v>
      </c>
      <c r="CX135" s="41" t="e">
        <v>#N/A</v>
      </c>
      <c r="CY135" s="41" t="e">
        <v>#N/A</v>
      </c>
      <c r="CZ135" s="41" t="e">
        <v>#N/A</v>
      </c>
      <c r="DA135" s="41" t="e">
        <v>#N/A</v>
      </c>
      <c r="DB135" s="41" t="e">
        <v>#N/A</v>
      </c>
      <c r="DC135" s="41" t="e">
        <v>#N/A</v>
      </c>
      <c r="DD135" s="41" t="e">
        <v>#N/A</v>
      </c>
      <c r="DE135" s="41" t="e">
        <v>#N/A</v>
      </c>
      <c r="DF135" s="133" t="e">
        <v>#N/A</v>
      </c>
      <c r="DG135" s="41" t="e">
        <v>#N/A</v>
      </c>
      <c r="DH135" s="41" t="e">
        <v>#N/A</v>
      </c>
      <c r="DI135" s="41" t="e">
        <v>#N/A</v>
      </c>
      <c r="DJ135" s="41" t="e">
        <v>#N/A</v>
      </c>
      <c r="DK135" s="41" t="e">
        <v>#N/A</v>
      </c>
      <c r="DL135" s="41" t="e">
        <v>#N/A</v>
      </c>
      <c r="DM135" s="39" t="e">
        <f t="shared" ref="DM135:DM158" si="4">OR(CE135=TRUE,CF135=TRUE,CG135=TRUE,CH135=TRUE,CI135=TRUE,CJ135=TRUE,CK135=TRUE,CL135=TRUE,CM135=TRUE)</f>
        <v>#N/A</v>
      </c>
      <c r="DN135" s="41" t="e">
        <v>#N/A</v>
      </c>
    </row>
    <row r="136" spans="1:118" ht="15.75" customHeight="1" x14ac:dyDescent="0.25">
      <c r="A136" s="37">
        <v>131</v>
      </c>
      <c r="C136" s="140">
        <v>8533</v>
      </c>
      <c r="D136" s="133" t="e">
        <v>#N/A</v>
      </c>
      <c r="E136" s="41" t="e">
        <v>#N/A</v>
      </c>
      <c r="F136" s="133" t="e">
        <v>#N/A</v>
      </c>
      <c r="G136" s="133" t="e">
        <v>#N/A</v>
      </c>
      <c r="H136" s="133" t="e">
        <v>#N/A</v>
      </c>
      <c r="I136" s="41" t="e">
        <v>#N/A</v>
      </c>
      <c r="J136" s="133" t="e">
        <v>#N/A</v>
      </c>
      <c r="K136" s="133" t="e">
        <v>#N/A</v>
      </c>
      <c r="L136" s="133" t="e">
        <v>#N/A</v>
      </c>
      <c r="M136" s="133" t="e">
        <v>#N/A</v>
      </c>
      <c r="N136" s="133" t="e">
        <v>#N/A</v>
      </c>
      <c r="O136" s="133" t="e">
        <v>#N/A</v>
      </c>
      <c r="P136" s="133" t="e">
        <v>#N/A</v>
      </c>
      <c r="Q136" s="133" t="e">
        <v>#N/A</v>
      </c>
      <c r="R136" s="41" t="e">
        <v>#N/A</v>
      </c>
      <c r="S136" s="41" t="e">
        <v>#N/A</v>
      </c>
      <c r="T136" s="41" t="e">
        <v>#N/A</v>
      </c>
      <c r="U136" s="41" t="e">
        <v>#N/A</v>
      </c>
      <c r="V136" s="41" t="e">
        <v>#N/A</v>
      </c>
      <c r="W136" s="41" t="e">
        <v>#N/A</v>
      </c>
      <c r="X136" s="41" t="e">
        <v>#N/A</v>
      </c>
      <c r="Y136" s="41" t="e">
        <v>#N/A</v>
      </c>
      <c r="Z136" s="41" t="e">
        <v>#N/A</v>
      </c>
      <c r="AA136" s="41" t="e">
        <v>#N/A</v>
      </c>
      <c r="AB136" s="133" t="e">
        <v>#N/A</v>
      </c>
      <c r="AC136" s="133" t="e">
        <v>#N/A</v>
      </c>
      <c r="AD136" s="133" t="e">
        <v>#N/A</v>
      </c>
      <c r="AE136" s="133" t="e">
        <v>#N/A</v>
      </c>
      <c r="AF136" s="133" t="e">
        <v>#N/A</v>
      </c>
      <c r="AG136" s="133" t="e">
        <v>#N/A</v>
      </c>
      <c r="AH136" s="41" t="e">
        <v>#N/A</v>
      </c>
      <c r="AI136" s="41" t="e">
        <v>#N/A</v>
      </c>
      <c r="AJ136" s="41" t="e">
        <v>#N/A</v>
      </c>
      <c r="AK136" s="41" t="e">
        <v>#N/A</v>
      </c>
      <c r="AL136" s="41" t="e">
        <v>#N/A</v>
      </c>
      <c r="AM136" s="41" t="e">
        <v>#N/A</v>
      </c>
      <c r="AN136" s="41" t="e">
        <v>#N/A</v>
      </c>
      <c r="AO136" s="41" t="e">
        <v>#N/A</v>
      </c>
      <c r="AP136" s="41" t="e">
        <v>#N/A</v>
      </c>
      <c r="AQ136" s="41" t="e">
        <v>#N/A</v>
      </c>
      <c r="AR136" s="41" t="e">
        <v>#N/A</v>
      </c>
      <c r="AS136" s="41" t="e">
        <v>#N/A</v>
      </c>
      <c r="AT136" s="41" t="e">
        <v>#N/A</v>
      </c>
      <c r="AU136" s="41" t="e">
        <v>#N/A</v>
      </c>
      <c r="AV136" s="41" t="e">
        <v>#N/A</v>
      </c>
      <c r="AW136" s="41" t="e">
        <v>#N/A</v>
      </c>
      <c r="AX136" s="41" t="e">
        <v>#N/A</v>
      </c>
      <c r="AY136" s="41" t="e">
        <v>#N/A</v>
      </c>
      <c r="AZ136" s="41" t="e">
        <v>#N/A</v>
      </c>
      <c r="BA136" s="41" t="e">
        <v>#N/A</v>
      </c>
      <c r="BB136" s="41" t="e">
        <v>#N/A</v>
      </c>
      <c r="BC136" s="41" t="e">
        <v>#N/A</v>
      </c>
      <c r="BD136" s="41" t="e">
        <v>#N/A</v>
      </c>
      <c r="BE136" s="41" t="e">
        <v>#N/A</v>
      </c>
      <c r="BF136" s="41" t="e">
        <v>#N/A</v>
      </c>
      <c r="BG136" s="41" t="e">
        <v>#N/A</v>
      </c>
      <c r="BH136" s="41" t="e">
        <v>#N/A</v>
      </c>
      <c r="BI136" s="41" t="e">
        <v>#N/A</v>
      </c>
      <c r="BJ136" s="41" t="e">
        <v>#N/A</v>
      </c>
      <c r="BK136" s="41" t="e">
        <v>#N/A</v>
      </c>
      <c r="BL136" s="41" t="e">
        <v>#N/A</v>
      </c>
      <c r="BM136" s="41" t="e">
        <v>#N/A</v>
      </c>
      <c r="BN136" s="41" t="e">
        <v>#N/A</v>
      </c>
      <c r="BO136" s="41" t="e">
        <v>#N/A</v>
      </c>
      <c r="BP136" s="41" t="e">
        <v>#N/A</v>
      </c>
      <c r="BQ136" s="41" t="e">
        <v>#N/A</v>
      </c>
      <c r="BR136" s="41" t="e">
        <v>#N/A</v>
      </c>
      <c r="BS136" s="41" t="e">
        <v>#N/A</v>
      </c>
      <c r="BT136" s="41" t="e">
        <v>#N/A</v>
      </c>
      <c r="BU136" s="41" t="e">
        <v>#N/A</v>
      </c>
      <c r="BV136" s="41" t="e">
        <v>#N/A</v>
      </c>
      <c r="BW136" s="41" t="e">
        <v>#N/A</v>
      </c>
      <c r="BX136" s="41" t="e">
        <v>#N/A</v>
      </c>
      <c r="BY136" s="41" t="e">
        <v>#N/A</v>
      </c>
      <c r="BZ136" s="41" t="e">
        <v>#N/A</v>
      </c>
      <c r="CA136" s="41" t="e">
        <v>#N/A</v>
      </c>
      <c r="CB136" s="41" t="e">
        <v>#N/A</v>
      </c>
      <c r="CC136" s="41" t="e">
        <v>#N/A</v>
      </c>
      <c r="CD136" s="41" t="e">
        <v>#N/A</v>
      </c>
      <c r="CE136" s="41" t="e">
        <v>#N/A</v>
      </c>
      <c r="CF136" s="41" t="e">
        <v>#N/A</v>
      </c>
      <c r="CG136" s="41" t="e">
        <v>#N/A</v>
      </c>
      <c r="CH136" s="41" t="e">
        <v>#N/A</v>
      </c>
      <c r="CI136" s="41" t="e">
        <v>#N/A</v>
      </c>
      <c r="CJ136" s="41" t="e">
        <v>#N/A</v>
      </c>
      <c r="CK136" s="41" t="e">
        <v>#N/A</v>
      </c>
      <c r="CL136" s="41" t="e">
        <v>#N/A</v>
      </c>
      <c r="CM136" s="41" t="e">
        <v>#N/A</v>
      </c>
      <c r="CN136" s="41" t="e">
        <v>#N/A</v>
      </c>
      <c r="CO136" s="58" t="e">
        <v>#N/A</v>
      </c>
      <c r="CP136" s="41" t="e">
        <v>#N/A</v>
      </c>
      <c r="CQ136" s="41" t="e">
        <v>#N/A</v>
      </c>
      <c r="CR136" s="41" t="e">
        <v>#N/A</v>
      </c>
      <c r="CS136" s="41" t="e">
        <v>#N/A</v>
      </c>
      <c r="CT136" s="41" t="e">
        <v>#N/A</v>
      </c>
      <c r="CU136" s="41" t="e">
        <v>#N/A</v>
      </c>
      <c r="CV136" s="41" t="e">
        <v>#N/A</v>
      </c>
      <c r="CW136" s="41" t="e">
        <v>#N/A</v>
      </c>
      <c r="CX136" s="41" t="e">
        <v>#N/A</v>
      </c>
      <c r="CY136" s="41" t="e">
        <v>#N/A</v>
      </c>
      <c r="CZ136" s="41" t="e">
        <v>#N/A</v>
      </c>
      <c r="DA136" s="41" t="e">
        <v>#N/A</v>
      </c>
      <c r="DB136" s="41" t="e">
        <v>#N/A</v>
      </c>
      <c r="DC136" s="41" t="e">
        <v>#N/A</v>
      </c>
      <c r="DD136" s="41" t="e">
        <v>#N/A</v>
      </c>
      <c r="DE136" s="41" t="e">
        <v>#N/A</v>
      </c>
      <c r="DF136" s="133" t="e">
        <v>#N/A</v>
      </c>
      <c r="DG136" s="41" t="e">
        <v>#N/A</v>
      </c>
      <c r="DH136" s="41" t="e">
        <v>#N/A</v>
      </c>
      <c r="DI136" s="41" t="e">
        <v>#N/A</v>
      </c>
      <c r="DJ136" s="41" t="e">
        <v>#N/A</v>
      </c>
      <c r="DK136" s="41" t="e">
        <v>#N/A</v>
      </c>
      <c r="DL136" s="41" t="e">
        <v>#N/A</v>
      </c>
      <c r="DM136" s="39" t="e">
        <f t="shared" si="4"/>
        <v>#N/A</v>
      </c>
      <c r="DN136" s="41" t="e">
        <v>#N/A</v>
      </c>
    </row>
    <row r="137" spans="1:118" ht="15.75" customHeight="1" x14ac:dyDescent="0.25">
      <c r="A137" s="37">
        <v>132</v>
      </c>
      <c r="C137" s="140">
        <v>2002</v>
      </c>
      <c r="D137" s="133" t="e">
        <v>#N/A</v>
      </c>
      <c r="E137" s="41" t="e">
        <v>#N/A</v>
      </c>
      <c r="F137" s="133" t="e">
        <v>#N/A</v>
      </c>
      <c r="G137" s="133" t="e">
        <v>#N/A</v>
      </c>
      <c r="H137" s="133" t="e">
        <v>#N/A</v>
      </c>
      <c r="I137" s="41" t="e">
        <v>#N/A</v>
      </c>
      <c r="J137" s="133" t="e">
        <v>#N/A</v>
      </c>
      <c r="K137" s="133" t="e">
        <v>#N/A</v>
      </c>
      <c r="L137" s="133" t="e">
        <v>#N/A</v>
      </c>
      <c r="M137" s="133" t="e">
        <v>#N/A</v>
      </c>
      <c r="N137" s="133" t="e">
        <v>#N/A</v>
      </c>
      <c r="O137" s="133" t="e">
        <v>#N/A</v>
      </c>
      <c r="P137" s="133" t="e">
        <v>#N/A</v>
      </c>
      <c r="Q137" s="133" t="e">
        <v>#N/A</v>
      </c>
      <c r="R137" s="41" t="e">
        <v>#N/A</v>
      </c>
      <c r="S137" s="41" t="e">
        <v>#N/A</v>
      </c>
      <c r="T137" s="41" t="e">
        <v>#N/A</v>
      </c>
      <c r="U137" s="41" t="e">
        <v>#N/A</v>
      </c>
      <c r="V137" s="41" t="e">
        <v>#N/A</v>
      </c>
      <c r="W137" s="41" t="e">
        <v>#N/A</v>
      </c>
      <c r="X137" s="41" t="e">
        <v>#N/A</v>
      </c>
      <c r="Y137" s="41" t="e">
        <v>#N/A</v>
      </c>
      <c r="Z137" s="41" t="e">
        <v>#N/A</v>
      </c>
      <c r="AA137" s="41" t="e">
        <v>#N/A</v>
      </c>
      <c r="AB137" s="133" t="e">
        <v>#N/A</v>
      </c>
      <c r="AC137" s="133" t="e">
        <v>#N/A</v>
      </c>
      <c r="AD137" s="133" t="e">
        <v>#N/A</v>
      </c>
      <c r="AE137" s="133" t="e">
        <v>#N/A</v>
      </c>
      <c r="AF137" s="133" t="e">
        <v>#N/A</v>
      </c>
      <c r="AG137" s="133" t="e">
        <v>#N/A</v>
      </c>
      <c r="AH137" s="41" t="e">
        <v>#N/A</v>
      </c>
      <c r="AI137" s="41" t="e">
        <v>#N/A</v>
      </c>
      <c r="AJ137" s="41" t="e">
        <v>#N/A</v>
      </c>
      <c r="AK137" s="41" t="e">
        <v>#N/A</v>
      </c>
      <c r="AL137" s="41" t="e">
        <v>#N/A</v>
      </c>
      <c r="AM137" s="41" t="e">
        <v>#N/A</v>
      </c>
      <c r="AN137" s="41" t="e">
        <v>#N/A</v>
      </c>
      <c r="AO137" s="41" t="e">
        <v>#N/A</v>
      </c>
      <c r="AP137" s="41" t="e">
        <v>#N/A</v>
      </c>
      <c r="AQ137" s="41" t="e">
        <v>#N/A</v>
      </c>
      <c r="AR137" s="41" t="e">
        <v>#N/A</v>
      </c>
      <c r="AS137" s="41" t="e">
        <v>#N/A</v>
      </c>
      <c r="AT137" s="41" t="e">
        <v>#N/A</v>
      </c>
      <c r="AU137" s="41" t="e">
        <v>#N/A</v>
      </c>
      <c r="AV137" s="41" t="e">
        <v>#N/A</v>
      </c>
      <c r="AW137" s="41" t="e">
        <v>#N/A</v>
      </c>
      <c r="AX137" s="41" t="e">
        <v>#N/A</v>
      </c>
      <c r="AY137" s="41" t="e">
        <v>#N/A</v>
      </c>
      <c r="AZ137" s="41" t="e">
        <v>#N/A</v>
      </c>
      <c r="BA137" s="41" t="e">
        <v>#N/A</v>
      </c>
      <c r="BB137" s="41" t="e">
        <v>#N/A</v>
      </c>
      <c r="BC137" s="41" t="e">
        <v>#N/A</v>
      </c>
      <c r="BD137" s="41" t="e">
        <v>#N/A</v>
      </c>
      <c r="BE137" s="41" t="e">
        <v>#N/A</v>
      </c>
      <c r="BF137" s="41" t="e">
        <v>#N/A</v>
      </c>
      <c r="BG137" s="41" t="e">
        <v>#N/A</v>
      </c>
      <c r="BH137" s="41" t="e">
        <v>#N/A</v>
      </c>
      <c r="BI137" s="41" t="e">
        <v>#N/A</v>
      </c>
      <c r="BJ137" s="41" t="e">
        <v>#N/A</v>
      </c>
      <c r="BK137" s="41" t="e">
        <v>#N/A</v>
      </c>
      <c r="BL137" s="41" t="e">
        <v>#N/A</v>
      </c>
      <c r="BM137" s="41" t="e">
        <v>#N/A</v>
      </c>
      <c r="BN137" s="41" t="e">
        <v>#N/A</v>
      </c>
      <c r="BO137" s="41" t="e">
        <v>#N/A</v>
      </c>
      <c r="BP137" s="41" t="e">
        <v>#N/A</v>
      </c>
      <c r="BQ137" s="41" t="e">
        <v>#N/A</v>
      </c>
      <c r="BR137" s="41" t="e">
        <v>#N/A</v>
      </c>
      <c r="BS137" s="41" t="e">
        <v>#N/A</v>
      </c>
      <c r="BT137" s="41" t="e">
        <v>#N/A</v>
      </c>
      <c r="BU137" s="41" t="e">
        <v>#N/A</v>
      </c>
      <c r="BV137" s="41" t="e">
        <v>#N/A</v>
      </c>
      <c r="BW137" s="41" t="e">
        <v>#N/A</v>
      </c>
      <c r="BX137" s="41" t="e">
        <v>#N/A</v>
      </c>
      <c r="BY137" s="41" t="e">
        <v>#N/A</v>
      </c>
      <c r="BZ137" s="41" t="e">
        <v>#N/A</v>
      </c>
      <c r="CA137" s="41" t="e">
        <v>#N/A</v>
      </c>
      <c r="CB137" s="41" t="e">
        <v>#N/A</v>
      </c>
      <c r="CC137" s="41" t="e">
        <v>#N/A</v>
      </c>
      <c r="CD137" s="41" t="e">
        <v>#N/A</v>
      </c>
      <c r="CE137" s="41" t="e">
        <v>#N/A</v>
      </c>
      <c r="CF137" s="41" t="e">
        <v>#N/A</v>
      </c>
      <c r="CG137" s="41" t="e">
        <v>#N/A</v>
      </c>
      <c r="CH137" s="41" t="e">
        <v>#N/A</v>
      </c>
      <c r="CI137" s="41" t="e">
        <v>#N/A</v>
      </c>
      <c r="CJ137" s="41" t="e">
        <v>#N/A</v>
      </c>
      <c r="CK137" s="41" t="e">
        <v>#N/A</v>
      </c>
      <c r="CL137" s="41" t="e">
        <v>#N/A</v>
      </c>
      <c r="CM137" s="41" t="e">
        <v>#N/A</v>
      </c>
      <c r="CN137" s="41" t="e">
        <v>#N/A</v>
      </c>
      <c r="CO137" s="58" t="e">
        <v>#N/A</v>
      </c>
      <c r="CP137" s="41" t="e">
        <v>#N/A</v>
      </c>
      <c r="CQ137" s="41" t="e">
        <v>#N/A</v>
      </c>
      <c r="CR137" s="41" t="e">
        <v>#N/A</v>
      </c>
      <c r="CS137" s="41" t="e">
        <v>#N/A</v>
      </c>
      <c r="CT137" s="41" t="e">
        <v>#N/A</v>
      </c>
      <c r="CU137" s="41" t="e">
        <v>#N/A</v>
      </c>
      <c r="CV137" s="41" t="e">
        <v>#N/A</v>
      </c>
      <c r="CW137" s="41" t="e">
        <v>#N/A</v>
      </c>
      <c r="CX137" s="41" t="e">
        <v>#N/A</v>
      </c>
      <c r="CY137" s="41" t="e">
        <v>#N/A</v>
      </c>
      <c r="CZ137" s="41" t="e">
        <v>#N/A</v>
      </c>
      <c r="DA137" s="41" t="e">
        <v>#N/A</v>
      </c>
      <c r="DB137" s="41" t="e">
        <v>#N/A</v>
      </c>
      <c r="DC137" s="41" t="e">
        <v>#N/A</v>
      </c>
      <c r="DD137" s="41" t="e">
        <v>#N/A</v>
      </c>
      <c r="DE137" s="41" t="e">
        <v>#N/A</v>
      </c>
      <c r="DF137" s="133" t="e">
        <v>#N/A</v>
      </c>
      <c r="DG137" s="41" t="e">
        <v>#N/A</v>
      </c>
      <c r="DH137" s="41" t="e">
        <v>#N/A</v>
      </c>
      <c r="DI137" s="41" t="e">
        <v>#N/A</v>
      </c>
      <c r="DJ137" s="41" t="e">
        <v>#N/A</v>
      </c>
      <c r="DK137" s="41" t="e">
        <v>#N/A</v>
      </c>
      <c r="DL137" s="41" t="e">
        <v>#N/A</v>
      </c>
      <c r="DM137" s="39" t="e">
        <f t="shared" si="4"/>
        <v>#N/A</v>
      </c>
      <c r="DN137" s="41" t="e">
        <v>#N/A</v>
      </c>
    </row>
    <row r="138" spans="1:118" ht="15.75" customHeight="1" x14ac:dyDescent="0.25">
      <c r="A138" s="37">
        <v>133</v>
      </c>
      <c r="C138" s="140">
        <v>7931</v>
      </c>
      <c r="D138" s="133" t="e">
        <v>#N/A</v>
      </c>
      <c r="E138" s="41" t="e">
        <v>#N/A</v>
      </c>
      <c r="F138" s="133" t="e">
        <v>#N/A</v>
      </c>
      <c r="G138" s="133" t="e">
        <v>#N/A</v>
      </c>
      <c r="H138" s="133" t="e">
        <v>#N/A</v>
      </c>
      <c r="I138" s="41" t="e">
        <v>#N/A</v>
      </c>
      <c r="J138" s="133" t="e">
        <v>#N/A</v>
      </c>
      <c r="K138" s="133" t="e">
        <v>#N/A</v>
      </c>
      <c r="L138" s="133" t="e">
        <v>#N/A</v>
      </c>
      <c r="M138" s="133" t="e">
        <v>#N/A</v>
      </c>
      <c r="N138" s="133" t="e">
        <v>#N/A</v>
      </c>
      <c r="O138" s="133" t="e">
        <v>#N/A</v>
      </c>
      <c r="P138" s="133" t="e">
        <v>#N/A</v>
      </c>
      <c r="Q138" s="133" t="e">
        <v>#N/A</v>
      </c>
      <c r="R138" s="41" t="e">
        <v>#N/A</v>
      </c>
      <c r="S138" s="41" t="e">
        <v>#N/A</v>
      </c>
      <c r="T138" s="41" t="e">
        <v>#N/A</v>
      </c>
      <c r="U138" s="41" t="e">
        <v>#N/A</v>
      </c>
      <c r="V138" s="41" t="e">
        <v>#N/A</v>
      </c>
      <c r="W138" s="41" t="e">
        <v>#N/A</v>
      </c>
      <c r="X138" s="41" t="e">
        <v>#N/A</v>
      </c>
      <c r="Y138" s="41" t="e">
        <v>#N/A</v>
      </c>
      <c r="Z138" s="41" t="e">
        <v>#N/A</v>
      </c>
      <c r="AA138" s="41" t="e">
        <v>#N/A</v>
      </c>
      <c r="AB138" s="133" t="e">
        <v>#N/A</v>
      </c>
      <c r="AC138" s="133" t="e">
        <v>#N/A</v>
      </c>
      <c r="AD138" s="133" t="e">
        <v>#N/A</v>
      </c>
      <c r="AE138" s="133" t="e">
        <v>#N/A</v>
      </c>
      <c r="AF138" s="133" t="e">
        <v>#N/A</v>
      </c>
      <c r="AG138" s="133" t="e">
        <v>#N/A</v>
      </c>
      <c r="AH138" s="41" t="e">
        <v>#N/A</v>
      </c>
      <c r="AI138" s="41" t="e">
        <v>#N/A</v>
      </c>
      <c r="AJ138" s="41" t="e">
        <v>#N/A</v>
      </c>
      <c r="AK138" s="41" t="e">
        <v>#N/A</v>
      </c>
      <c r="AL138" s="41" t="e">
        <v>#N/A</v>
      </c>
      <c r="AM138" s="41" t="e">
        <v>#N/A</v>
      </c>
      <c r="AN138" s="41" t="e">
        <v>#N/A</v>
      </c>
      <c r="AO138" s="41" t="e">
        <v>#N/A</v>
      </c>
      <c r="AP138" s="41" t="e">
        <v>#N/A</v>
      </c>
      <c r="AQ138" s="41" t="e">
        <v>#N/A</v>
      </c>
      <c r="AR138" s="41" t="e">
        <v>#N/A</v>
      </c>
      <c r="AS138" s="41" t="e">
        <v>#N/A</v>
      </c>
      <c r="AT138" s="41" t="e">
        <v>#N/A</v>
      </c>
      <c r="AU138" s="41" t="e">
        <v>#N/A</v>
      </c>
      <c r="AV138" s="41" t="e">
        <v>#N/A</v>
      </c>
      <c r="AW138" s="41" t="e">
        <v>#N/A</v>
      </c>
      <c r="AX138" s="41" t="e">
        <v>#N/A</v>
      </c>
      <c r="AY138" s="41" t="e">
        <v>#N/A</v>
      </c>
      <c r="AZ138" s="41" t="e">
        <v>#N/A</v>
      </c>
      <c r="BA138" s="41" t="e">
        <v>#N/A</v>
      </c>
      <c r="BB138" s="41" t="e">
        <v>#N/A</v>
      </c>
      <c r="BC138" s="41" t="e">
        <v>#N/A</v>
      </c>
      <c r="BD138" s="41" t="e">
        <v>#N/A</v>
      </c>
      <c r="BE138" s="41" t="e">
        <v>#N/A</v>
      </c>
      <c r="BF138" s="41" t="e">
        <v>#N/A</v>
      </c>
      <c r="BG138" s="41" t="e">
        <v>#N/A</v>
      </c>
      <c r="BH138" s="41" t="e">
        <v>#N/A</v>
      </c>
      <c r="BI138" s="41" t="e">
        <v>#N/A</v>
      </c>
      <c r="BJ138" s="41" t="e">
        <v>#N/A</v>
      </c>
      <c r="BK138" s="41" t="e">
        <v>#N/A</v>
      </c>
      <c r="BL138" s="41" t="e">
        <v>#N/A</v>
      </c>
      <c r="BM138" s="41" t="e">
        <v>#N/A</v>
      </c>
      <c r="BN138" s="41" t="e">
        <v>#N/A</v>
      </c>
      <c r="BO138" s="41" t="e">
        <v>#N/A</v>
      </c>
      <c r="BP138" s="41" t="e">
        <v>#N/A</v>
      </c>
      <c r="BQ138" s="41" t="e">
        <v>#N/A</v>
      </c>
      <c r="BR138" s="41" t="e">
        <v>#N/A</v>
      </c>
      <c r="BS138" s="41" t="e">
        <v>#N/A</v>
      </c>
      <c r="BT138" s="41" t="e">
        <v>#N/A</v>
      </c>
      <c r="BU138" s="41" t="e">
        <v>#N/A</v>
      </c>
      <c r="BV138" s="41" t="e">
        <v>#N/A</v>
      </c>
      <c r="BW138" s="41" t="e">
        <v>#N/A</v>
      </c>
      <c r="BX138" s="41" t="e">
        <v>#N/A</v>
      </c>
      <c r="BY138" s="41" t="e">
        <v>#N/A</v>
      </c>
      <c r="BZ138" s="41" t="e">
        <v>#N/A</v>
      </c>
      <c r="CA138" s="41" t="e">
        <v>#N/A</v>
      </c>
      <c r="CB138" s="41" t="e">
        <v>#N/A</v>
      </c>
      <c r="CC138" s="41" t="e">
        <v>#N/A</v>
      </c>
      <c r="CD138" s="41" t="e">
        <v>#N/A</v>
      </c>
      <c r="CE138" s="41" t="e">
        <v>#N/A</v>
      </c>
      <c r="CF138" s="41" t="e">
        <v>#N/A</v>
      </c>
      <c r="CG138" s="41" t="e">
        <v>#N/A</v>
      </c>
      <c r="CH138" s="41" t="e">
        <v>#N/A</v>
      </c>
      <c r="CI138" s="41" t="e">
        <v>#N/A</v>
      </c>
      <c r="CJ138" s="41" t="e">
        <v>#N/A</v>
      </c>
      <c r="CK138" s="41" t="e">
        <v>#N/A</v>
      </c>
      <c r="CL138" s="41" t="e">
        <v>#N/A</v>
      </c>
      <c r="CM138" s="41" t="e">
        <v>#N/A</v>
      </c>
      <c r="CN138" s="41" t="e">
        <v>#N/A</v>
      </c>
      <c r="CO138" s="58" t="e">
        <v>#N/A</v>
      </c>
      <c r="CP138" s="41" t="e">
        <v>#N/A</v>
      </c>
      <c r="CQ138" s="41" t="e">
        <v>#N/A</v>
      </c>
      <c r="CR138" s="41" t="e">
        <v>#N/A</v>
      </c>
      <c r="CS138" s="41" t="e">
        <v>#N/A</v>
      </c>
      <c r="CT138" s="41" t="e">
        <v>#N/A</v>
      </c>
      <c r="CU138" s="41" t="e">
        <v>#N/A</v>
      </c>
      <c r="CV138" s="41" t="e">
        <v>#N/A</v>
      </c>
      <c r="CW138" s="41" t="e">
        <v>#N/A</v>
      </c>
      <c r="CX138" s="41" t="e">
        <v>#N/A</v>
      </c>
      <c r="CY138" s="41" t="e">
        <v>#N/A</v>
      </c>
      <c r="CZ138" s="41" t="e">
        <v>#N/A</v>
      </c>
      <c r="DA138" s="41" t="e">
        <v>#N/A</v>
      </c>
      <c r="DB138" s="41" t="e">
        <v>#N/A</v>
      </c>
      <c r="DC138" s="41" t="e">
        <v>#N/A</v>
      </c>
      <c r="DD138" s="41" t="e">
        <v>#N/A</v>
      </c>
      <c r="DE138" s="41" t="e">
        <v>#N/A</v>
      </c>
      <c r="DF138" s="133" t="e">
        <v>#N/A</v>
      </c>
      <c r="DG138" s="41" t="e">
        <v>#N/A</v>
      </c>
      <c r="DH138" s="41" t="e">
        <v>#N/A</v>
      </c>
      <c r="DI138" s="41" t="e">
        <v>#N/A</v>
      </c>
      <c r="DJ138" s="41" t="e">
        <v>#N/A</v>
      </c>
      <c r="DK138" s="41" t="e">
        <v>#N/A</v>
      </c>
      <c r="DL138" s="41" t="e">
        <v>#N/A</v>
      </c>
      <c r="DM138" s="39" t="e">
        <f t="shared" si="4"/>
        <v>#N/A</v>
      </c>
      <c r="DN138" s="41" t="e">
        <v>#N/A</v>
      </c>
    </row>
    <row r="139" spans="1:118" ht="15.75" customHeight="1" x14ac:dyDescent="0.25">
      <c r="A139" s="37">
        <v>134</v>
      </c>
      <c r="C139" s="140">
        <v>8618</v>
      </c>
      <c r="D139" s="133" t="e">
        <v>#N/A</v>
      </c>
      <c r="E139" s="41" t="e">
        <v>#N/A</v>
      </c>
      <c r="F139" s="133" t="e">
        <v>#N/A</v>
      </c>
      <c r="G139" s="133" t="e">
        <v>#N/A</v>
      </c>
      <c r="H139" s="133" t="e">
        <v>#N/A</v>
      </c>
      <c r="I139" s="41" t="e">
        <v>#N/A</v>
      </c>
      <c r="J139" s="133" t="e">
        <v>#N/A</v>
      </c>
      <c r="K139" s="133" t="e">
        <v>#N/A</v>
      </c>
      <c r="L139" s="133" t="e">
        <v>#N/A</v>
      </c>
      <c r="M139" s="133" t="e">
        <v>#N/A</v>
      </c>
      <c r="N139" s="133" t="e">
        <v>#N/A</v>
      </c>
      <c r="O139" s="133" t="e">
        <v>#N/A</v>
      </c>
      <c r="P139" s="133" t="e">
        <v>#N/A</v>
      </c>
      <c r="Q139" s="133" t="e">
        <v>#N/A</v>
      </c>
      <c r="R139" s="41" t="e">
        <v>#N/A</v>
      </c>
      <c r="S139" s="41" t="e">
        <v>#N/A</v>
      </c>
      <c r="T139" s="41" t="e">
        <v>#N/A</v>
      </c>
      <c r="U139" s="41" t="e">
        <v>#N/A</v>
      </c>
      <c r="V139" s="41" t="e">
        <v>#N/A</v>
      </c>
      <c r="W139" s="41" t="e">
        <v>#N/A</v>
      </c>
      <c r="X139" s="41" t="e">
        <v>#N/A</v>
      </c>
      <c r="Y139" s="41" t="e">
        <v>#N/A</v>
      </c>
      <c r="Z139" s="41" t="e">
        <v>#N/A</v>
      </c>
      <c r="AA139" s="41" t="e">
        <v>#N/A</v>
      </c>
      <c r="AB139" s="133" t="e">
        <v>#N/A</v>
      </c>
      <c r="AC139" s="133" t="e">
        <v>#N/A</v>
      </c>
      <c r="AD139" s="133" t="e">
        <v>#N/A</v>
      </c>
      <c r="AE139" s="133" t="e">
        <v>#N/A</v>
      </c>
      <c r="AF139" s="133" t="e">
        <v>#N/A</v>
      </c>
      <c r="AG139" s="133" t="e">
        <v>#N/A</v>
      </c>
      <c r="AH139" s="41" t="e">
        <v>#N/A</v>
      </c>
      <c r="AI139" s="41" t="e">
        <v>#N/A</v>
      </c>
      <c r="AJ139" s="41" t="e">
        <v>#N/A</v>
      </c>
      <c r="AK139" s="41" t="e">
        <v>#N/A</v>
      </c>
      <c r="AL139" s="41" t="e">
        <v>#N/A</v>
      </c>
      <c r="AM139" s="41" t="e">
        <v>#N/A</v>
      </c>
      <c r="AN139" s="41" t="e">
        <v>#N/A</v>
      </c>
      <c r="AO139" s="41" t="e">
        <v>#N/A</v>
      </c>
      <c r="AP139" s="41" t="e">
        <v>#N/A</v>
      </c>
      <c r="AQ139" s="41" t="e">
        <v>#N/A</v>
      </c>
      <c r="AR139" s="41" t="e">
        <v>#N/A</v>
      </c>
      <c r="AS139" s="41" t="e">
        <v>#N/A</v>
      </c>
      <c r="AT139" s="41" t="e">
        <v>#N/A</v>
      </c>
      <c r="AU139" s="41" t="e">
        <v>#N/A</v>
      </c>
      <c r="AV139" s="41" t="e">
        <v>#N/A</v>
      </c>
      <c r="AW139" s="41" t="e">
        <v>#N/A</v>
      </c>
      <c r="AX139" s="41" t="e">
        <v>#N/A</v>
      </c>
      <c r="AY139" s="41" t="e">
        <v>#N/A</v>
      </c>
      <c r="AZ139" s="41" t="e">
        <v>#N/A</v>
      </c>
      <c r="BA139" s="41" t="e">
        <v>#N/A</v>
      </c>
      <c r="BB139" s="41" t="e">
        <v>#N/A</v>
      </c>
      <c r="BC139" s="41" t="e">
        <v>#N/A</v>
      </c>
      <c r="BD139" s="41" t="e">
        <v>#N/A</v>
      </c>
      <c r="BE139" s="41" t="e">
        <v>#N/A</v>
      </c>
      <c r="BF139" s="41" t="e">
        <v>#N/A</v>
      </c>
      <c r="BG139" s="41" t="e">
        <v>#N/A</v>
      </c>
      <c r="BH139" s="41" t="e">
        <v>#N/A</v>
      </c>
      <c r="BI139" s="41" t="e">
        <v>#N/A</v>
      </c>
      <c r="BJ139" s="41" t="e">
        <v>#N/A</v>
      </c>
      <c r="BK139" s="41" t="e">
        <v>#N/A</v>
      </c>
      <c r="BL139" s="41" t="e">
        <v>#N/A</v>
      </c>
      <c r="BM139" s="41" t="e">
        <v>#N/A</v>
      </c>
      <c r="BN139" s="41" t="e">
        <v>#N/A</v>
      </c>
      <c r="BO139" s="41" t="e">
        <v>#N/A</v>
      </c>
      <c r="BP139" s="41" t="e">
        <v>#N/A</v>
      </c>
      <c r="BQ139" s="41" t="e">
        <v>#N/A</v>
      </c>
      <c r="BR139" s="41" t="e">
        <v>#N/A</v>
      </c>
      <c r="BS139" s="41" t="e">
        <v>#N/A</v>
      </c>
      <c r="BT139" s="41" t="e">
        <v>#N/A</v>
      </c>
      <c r="BU139" s="41" t="e">
        <v>#N/A</v>
      </c>
      <c r="BV139" s="41" t="e">
        <v>#N/A</v>
      </c>
      <c r="BW139" s="41" t="e">
        <v>#N/A</v>
      </c>
      <c r="BX139" s="41" t="e">
        <v>#N/A</v>
      </c>
      <c r="BY139" s="41" t="e">
        <v>#N/A</v>
      </c>
      <c r="BZ139" s="41" t="e">
        <v>#N/A</v>
      </c>
      <c r="CA139" s="41" t="e">
        <v>#N/A</v>
      </c>
      <c r="CB139" s="41" t="e">
        <v>#N/A</v>
      </c>
      <c r="CC139" s="41" t="e">
        <v>#N/A</v>
      </c>
      <c r="CD139" s="41" t="e">
        <v>#N/A</v>
      </c>
      <c r="CE139" s="41" t="e">
        <v>#N/A</v>
      </c>
      <c r="CF139" s="41" t="e">
        <v>#N/A</v>
      </c>
      <c r="CG139" s="41" t="e">
        <v>#N/A</v>
      </c>
      <c r="CH139" s="41" t="e">
        <v>#N/A</v>
      </c>
      <c r="CI139" s="41" t="e">
        <v>#N/A</v>
      </c>
      <c r="CJ139" s="41" t="e">
        <v>#N/A</v>
      </c>
      <c r="CK139" s="41" t="e">
        <v>#N/A</v>
      </c>
      <c r="CL139" s="41" t="e">
        <v>#N/A</v>
      </c>
      <c r="CM139" s="41" t="e">
        <v>#N/A</v>
      </c>
      <c r="CN139" s="41" t="e">
        <v>#N/A</v>
      </c>
      <c r="CO139" s="58" t="e">
        <v>#N/A</v>
      </c>
      <c r="CP139" s="41" t="e">
        <v>#N/A</v>
      </c>
      <c r="CQ139" s="41" t="e">
        <v>#N/A</v>
      </c>
      <c r="CR139" s="41" t="e">
        <v>#N/A</v>
      </c>
      <c r="CS139" s="41" t="e">
        <v>#N/A</v>
      </c>
      <c r="CT139" s="41" t="e">
        <v>#N/A</v>
      </c>
      <c r="CU139" s="41" t="e">
        <v>#N/A</v>
      </c>
      <c r="CV139" s="41" t="e">
        <v>#N/A</v>
      </c>
      <c r="CW139" s="41" t="e">
        <v>#N/A</v>
      </c>
      <c r="CX139" s="41" t="e">
        <v>#N/A</v>
      </c>
      <c r="CY139" s="41" t="e">
        <v>#N/A</v>
      </c>
      <c r="CZ139" s="41" t="e">
        <v>#N/A</v>
      </c>
      <c r="DA139" s="41" t="e">
        <v>#N/A</v>
      </c>
      <c r="DB139" s="41" t="e">
        <v>#N/A</v>
      </c>
      <c r="DC139" s="41" t="e">
        <v>#N/A</v>
      </c>
      <c r="DD139" s="41" t="e">
        <v>#N/A</v>
      </c>
      <c r="DE139" s="41" t="e">
        <v>#N/A</v>
      </c>
      <c r="DF139" s="133" t="e">
        <v>#N/A</v>
      </c>
      <c r="DG139" s="41" t="e">
        <v>#N/A</v>
      </c>
      <c r="DH139" s="41" t="e">
        <v>#N/A</v>
      </c>
      <c r="DI139" s="41" t="e">
        <v>#N/A</v>
      </c>
      <c r="DJ139" s="41" t="e">
        <v>#N/A</v>
      </c>
      <c r="DK139" s="41" t="e">
        <v>#N/A</v>
      </c>
      <c r="DL139" s="41" t="e">
        <v>#N/A</v>
      </c>
      <c r="DM139" s="39" t="e">
        <f t="shared" si="4"/>
        <v>#N/A</v>
      </c>
      <c r="DN139" s="41" t="e">
        <v>#N/A</v>
      </c>
    </row>
    <row r="140" spans="1:118" ht="15.75" customHeight="1" x14ac:dyDescent="0.25">
      <c r="A140" s="37">
        <v>135</v>
      </c>
      <c r="C140" s="140">
        <v>7586</v>
      </c>
      <c r="D140" s="133" t="e">
        <v>#N/A</v>
      </c>
      <c r="E140" s="41" t="e">
        <v>#N/A</v>
      </c>
      <c r="F140" s="133" t="e">
        <v>#N/A</v>
      </c>
      <c r="G140" s="133" t="e">
        <v>#N/A</v>
      </c>
      <c r="H140" s="133" t="e">
        <v>#N/A</v>
      </c>
      <c r="I140" s="41" t="e">
        <v>#N/A</v>
      </c>
      <c r="J140" s="133" t="e">
        <v>#N/A</v>
      </c>
      <c r="K140" s="133" t="e">
        <v>#N/A</v>
      </c>
      <c r="L140" s="133" t="e">
        <v>#N/A</v>
      </c>
      <c r="M140" s="133" t="e">
        <v>#N/A</v>
      </c>
      <c r="N140" s="133" t="e">
        <v>#N/A</v>
      </c>
      <c r="O140" s="133" t="e">
        <v>#N/A</v>
      </c>
      <c r="P140" s="133" t="e">
        <v>#N/A</v>
      </c>
      <c r="Q140" s="133" t="e">
        <v>#N/A</v>
      </c>
      <c r="R140" s="41" t="e">
        <v>#N/A</v>
      </c>
      <c r="S140" s="41" t="e">
        <v>#N/A</v>
      </c>
      <c r="T140" s="41" t="e">
        <v>#N/A</v>
      </c>
      <c r="U140" s="41" t="e">
        <v>#N/A</v>
      </c>
      <c r="V140" s="41" t="e">
        <v>#N/A</v>
      </c>
      <c r="W140" s="41" t="e">
        <v>#N/A</v>
      </c>
      <c r="X140" s="41" t="e">
        <v>#N/A</v>
      </c>
      <c r="Y140" s="41" t="e">
        <v>#N/A</v>
      </c>
      <c r="Z140" s="41" t="e">
        <v>#N/A</v>
      </c>
      <c r="AA140" s="41" t="e">
        <v>#N/A</v>
      </c>
      <c r="AB140" s="133" t="e">
        <v>#N/A</v>
      </c>
      <c r="AC140" s="133" t="e">
        <v>#N/A</v>
      </c>
      <c r="AD140" s="133" t="e">
        <v>#N/A</v>
      </c>
      <c r="AE140" s="133" t="e">
        <v>#N/A</v>
      </c>
      <c r="AF140" s="133" t="e">
        <v>#N/A</v>
      </c>
      <c r="AG140" s="133" t="e">
        <v>#N/A</v>
      </c>
      <c r="AH140" s="41" t="e">
        <v>#N/A</v>
      </c>
      <c r="AI140" s="41" t="e">
        <v>#N/A</v>
      </c>
      <c r="AJ140" s="41" t="e">
        <v>#N/A</v>
      </c>
      <c r="AK140" s="41" t="e">
        <v>#N/A</v>
      </c>
      <c r="AL140" s="41" t="e">
        <v>#N/A</v>
      </c>
      <c r="AM140" s="41" t="e">
        <v>#N/A</v>
      </c>
      <c r="AN140" s="41" t="e">
        <v>#N/A</v>
      </c>
      <c r="AO140" s="41" t="e">
        <v>#N/A</v>
      </c>
      <c r="AP140" s="41" t="e">
        <v>#N/A</v>
      </c>
      <c r="AQ140" s="41" t="e">
        <v>#N/A</v>
      </c>
      <c r="AR140" s="41" t="e">
        <v>#N/A</v>
      </c>
      <c r="AS140" s="41" t="e">
        <v>#N/A</v>
      </c>
      <c r="AT140" s="41" t="e">
        <v>#N/A</v>
      </c>
      <c r="AU140" s="41" t="e">
        <v>#N/A</v>
      </c>
      <c r="AV140" s="41" t="e">
        <v>#N/A</v>
      </c>
      <c r="AW140" s="41" t="e">
        <v>#N/A</v>
      </c>
      <c r="AX140" s="41" t="e">
        <v>#N/A</v>
      </c>
      <c r="AY140" s="41" t="e">
        <v>#N/A</v>
      </c>
      <c r="AZ140" s="41" t="e">
        <v>#N/A</v>
      </c>
      <c r="BA140" s="41" t="e">
        <v>#N/A</v>
      </c>
      <c r="BB140" s="41" t="e">
        <v>#N/A</v>
      </c>
      <c r="BC140" s="41" t="e">
        <v>#N/A</v>
      </c>
      <c r="BD140" s="41" t="e">
        <v>#N/A</v>
      </c>
      <c r="BE140" s="41" t="e">
        <v>#N/A</v>
      </c>
      <c r="BF140" s="41" t="e">
        <v>#N/A</v>
      </c>
      <c r="BG140" s="41" t="e">
        <v>#N/A</v>
      </c>
      <c r="BH140" s="41" t="e">
        <v>#N/A</v>
      </c>
      <c r="BI140" s="41" t="e">
        <v>#N/A</v>
      </c>
      <c r="BJ140" s="41" t="e">
        <v>#N/A</v>
      </c>
      <c r="BK140" s="41" t="e">
        <v>#N/A</v>
      </c>
      <c r="BL140" s="41" t="e">
        <v>#N/A</v>
      </c>
      <c r="BM140" s="41" t="e">
        <v>#N/A</v>
      </c>
      <c r="BN140" s="41" t="e">
        <v>#N/A</v>
      </c>
      <c r="BO140" s="41" t="e">
        <v>#N/A</v>
      </c>
      <c r="BP140" s="41" t="e">
        <v>#N/A</v>
      </c>
      <c r="BQ140" s="41" t="e">
        <v>#N/A</v>
      </c>
      <c r="BR140" s="41" t="e">
        <v>#N/A</v>
      </c>
      <c r="BS140" s="41" t="e">
        <v>#N/A</v>
      </c>
      <c r="BT140" s="41" t="e">
        <v>#N/A</v>
      </c>
      <c r="BU140" s="41" t="e">
        <v>#N/A</v>
      </c>
      <c r="BV140" s="41" t="e">
        <v>#N/A</v>
      </c>
      <c r="BW140" s="41" t="e">
        <v>#N/A</v>
      </c>
      <c r="BX140" s="41" t="e">
        <v>#N/A</v>
      </c>
      <c r="BY140" s="41" t="e">
        <v>#N/A</v>
      </c>
      <c r="BZ140" s="41" t="e">
        <v>#N/A</v>
      </c>
      <c r="CA140" s="41" t="e">
        <v>#N/A</v>
      </c>
      <c r="CB140" s="41" t="e">
        <v>#N/A</v>
      </c>
      <c r="CC140" s="41" t="e">
        <v>#N/A</v>
      </c>
      <c r="CD140" s="41" t="e">
        <v>#N/A</v>
      </c>
      <c r="CE140" s="41" t="e">
        <v>#N/A</v>
      </c>
      <c r="CF140" s="41" t="e">
        <v>#N/A</v>
      </c>
      <c r="CG140" s="41" t="e">
        <v>#N/A</v>
      </c>
      <c r="CH140" s="41" t="e">
        <v>#N/A</v>
      </c>
      <c r="CI140" s="41" t="e">
        <v>#N/A</v>
      </c>
      <c r="CJ140" s="41" t="e">
        <v>#N/A</v>
      </c>
      <c r="CK140" s="41" t="e">
        <v>#N/A</v>
      </c>
      <c r="CL140" s="41" t="e">
        <v>#N/A</v>
      </c>
      <c r="CM140" s="41" t="e">
        <v>#N/A</v>
      </c>
      <c r="CN140" s="41" t="e">
        <v>#N/A</v>
      </c>
      <c r="CO140" s="58" t="e">
        <v>#N/A</v>
      </c>
      <c r="CP140" s="41" t="e">
        <v>#N/A</v>
      </c>
      <c r="CQ140" s="41" t="e">
        <v>#N/A</v>
      </c>
      <c r="CR140" s="41" t="e">
        <v>#N/A</v>
      </c>
      <c r="CS140" s="41" t="e">
        <v>#N/A</v>
      </c>
      <c r="CT140" s="41" t="e">
        <v>#N/A</v>
      </c>
      <c r="CU140" s="41" t="e">
        <v>#N/A</v>
      </c>
      <c r="CV140" s="41" t="e">
        <v>#N/A</v>
      </c>
      <c r="CW140" s="41" t="e">
        <v>#N/A</v>
      </c>
      <c r="CX140" s="41" t="e">
        <v>#N/A</v>
      </c>
      <c r="CY140" s="41" t="e">
        <v>#N/A</v>
      </c>
      <c r="CZ140" s="41" t="e">
        <v>#N/A</v>
      </c>
      <c r="DA140" s="41" t="e">
        <v>#N/A</v>
      </c>
      <c r="DB140" s="41" t="e">
        <v>#N/A</v>
      </c>
      <c r="DC140" s="41" t="e">
        <v>#N/A</v>
      </c>
      <c r="DD140" s="41" t="e">
        <v>#N/A</v>
      </c>
      <c r="DE140" s="41" t="e">
        <v>#N/A</v>
      </c>
      <c r="DF140" s="133" t="e">
        <v>#N/A</v>
      </c>
      <c r="DG140" s="41" t="e">
        <v>#N/A</v>
      </c>
      <c r="DH140" s="41" t="e">
        <v>#N/A</v>
      </c>
      <c r="DI140" s="41" t="e">
        <v>#N/A</v>
      </c>
      <c r="DJ140" s="41" t="e">
        <v>#N/A</v>
      </c>
      <c r="DK140" s="41" t="e">
        <v>#N/A</v>
      </c>
      <c r="DL140" s="41" t="e">
        <v>#N/A</v>
      </c>
      <c r="DM140" s="39" t="e">
        <f t="shared" si="4"/>
        <v>#N/A</v>
      </c>
      <c r="DN140" s="41" t="e">
        <v>#N/A</v>
      </c>
    </row>
    <row r="141" spans="1:118" ht="15.75" customHeight="1" x14ac:dyDescent="0.25">
      <c r="A141" s="37">
        <v>136</v>
      </c>
      <c r="C141" s="140">
        <v>8543</v>
      </c>
      <c r="D141" s="133" t="e">
        <v>#N/A</v>
      </c>
      <c r="E141" s="41" t="e">
        <v>#N/A</v>
      </c>
      <c r="F141" s="133" t="e">
        <v>#N/A</v>
      </c>
      <c r="G141" s="133" t="e">
        <v>#N/A</v>
      </c>
      <c r="H141" s="133" t="e">
        <v>#N/A</v>
      </c>
      <c r="I141" s="41" t="e">
        <v>#N/A</v>
      </c>
      <c r="J141" s="133" t="e">
        <v>#N/A</v>
      </c>
      <c r="K141" s="133" t="e">
        <v>#N/A</v>
      </c>
      <c r="L141" s="133" t="e">
        <v>#N/A</v>
      </c>
      <c r="M141" s="133" t="e">
        <v>#N/A</v>
      </c>
      <c r="N141" s="133" t="e">
        <v>#N/A</v>
      </c>
      <c r="O141" s="133" t="e">
        <v>#N/A</v>
      </c>
      <c r="P141" s="133" t="e">
        <v>#N/A</v>
      </c>
      <c r="Q141" s="133" t="e">
        <v>#N/A</v>
      </c>
      <c r="R141" s="41" t="e">
        <v>#N/A</v>
      </c>
      <c r="S141" s="41" t="e">
        <v>#N/A</v>
      </c>
      <c r="T141" s="41" t="e">
        <v>#N/A</v>
      </c>
      <c r="U141" s="41" t="e">
        <v>#N/A</v>
      </c>
      <c r="V141" s="41" t="e">
        <v>#N/A</v>
      </c>
      <c r="W141" s="41" t="e">
        <v>#N/A</v>
      </c>
      <c r="X141" s="41" t="e">
        <v>#N/A</v>
      </c>
      <c r="Y141" s="41" t="e">
        <v>#N/A</v>
      </c>
      <c r="Z141" s="41" t="e">
        <v>#N/A</v>
      </c>
      <c r="AA141" s="41" t="e">
        <v>#N/A</v>
      </c>
      <c r="AB141" s="133" t="e">
        <v>#N/A</v>
      </c>
      <c r="AC141" s="133" t="e">
        <v>#N/A</v>
      </c>
      <c r="AD141" s="133" t="e">
        <v>#N/A</v>
      </c>
      <c r="AE141" s="133" t="e">
        <v>#N/A</v>
      </c>
      <c r="AF141" s="133" t="e">
        <v>#N/A</v>
      </c>
      <c r="AG141" s="133" t="e">
        <v>#N/A</v>
      </c>
      <c r="AH141" s="41" t="e">
        <v>#N/A</v>
      </c>
      <c r="AI141" s="41" t="e">
        <v>#N/A</v>
      </c>
      <c r="AJ141" s="41" t="e">
        <v>#N/A</v>
      </c>
      <c r="AK141" s="41" t="e">
        <v>#N/A</v>
      </c>
      <c r="AL141" s="41" t="e">
        <v>#N/A</v>
      </c>
      <c r="AM141" s="41" t="e">
        <v>#N/A</v>
      </c>
      <c r="AN141" s="41" t="e">
        <v>#N/A</v>
      </c>
      <c r="AO141" s="41" t="e">
        <v>#N/A</v>
      </c>
      <c r="AP141" s="41" t="e">
        <v>#N/A</v>
      </c>
      <c r="AQ141" s="41" t="e">
        <v>#N/A</v>
      </c>
      <c r="AR141" s="41" t="e">
        <v>#N/A</v>
      </c>
      <c r="AS141" s="41" t="e">
        <v>#N/A</v>
      </c>
      <c r="AT141" s="41" t="e">
        <v>#N/A</v>
      </c>
      <c r="AU141" s="41" t="e">
        <v>#N/A</v>
      </c>
      <c r="AV141" s="41" t="e">
        <v>#N/A</v>
      </c>
      <c r="AW141" s="41" t="e">
        <v>#N/A</v>
      </c>
      <c r="AX141" s="41" t="e">
        <v>#N/A</v>
      </c>
      <c r="AY141" s="41" t="e">
        <v>#N/A</v>
      </c>
      <c r="AZ141" s="41" t="e">
        <v>#N/A</v>
      </c>
      <c r="BA141" s="41" t="e">
        <v>#N/A</v>
      </c>
      <c r="BB141" s="41" t="e">
        <v>#N/A</v>
      </c>
      <c r="BC141" s="41" t="e">
        <v>#N/A</v>
      </c>
      <c r="BD141" s="41" t="e">
        <v>#N/A</v>
      </c>
      <c r="BE141" s="41" t="e">
        <v>#N/A</v>
      </c>
      <c r="BF141" s="41" t="e">
        <v>#N/A</v>
      </c>
      <c r="BG141" s="41" t="e">
        <v>#N/A</v>
      </c>
      <c r="BH141" s="41" t="e">
        <v>#N/A</v>
      </c>
      <c r="BI141" s="41" t="e">
        <v>#N/A</v>
      </c>
      <c r="BJ141" s="41" t="e">
        <v>#N/A</v>
      </c>
      <c r="BK141" s="41" t="e">
        <v>#N/A</v>
      </c>
      <c r="BL141" s="41" t="e">
        <v>#N/A</v>
      </c>
      <c r="BM141" s="41" t="e">
        <v>#N/A</v>
      </c>
      <c r="BN141" s="41" t="e">
        <v>#N/A</v>
      </c>
      <c r="BO141" s="41" t="e">
        <v>#N/A</v>
      </c>
      <c r="BP141" s="41" t="e">
        <v>#N/A</v>
      </c>
      <c r="BQ141" s="41" t="e">
        <v>#N/A</v>
      </c>
      <c r="BR141" s="41" t="e">
        <v>#N/A</v>
      </c>
      <c r="BS141" s="41" t="e">
        <v>#N/A</v>
      </c>
      <c r="BT141" s="41" t="e">
        <v>#N/A</v>
      </c>
      <c r="BU141" s="41" t="e">
        <v>#N/A</v>
      </c>
      <c r="BV141" s="41" t="e">
        <v>#N/A</v>
      </c>
      <c r="BW141" s="41" t="e">
        <v>#N/A</v>
      </c>
      <c r="BX141" s="41" t="e">
        <v>#N/A</v>
      </c>
      <c r="BY141" s="41" t="e">
        <v>#N/A</v>
      </c>
      <c r="BZ141" s="41" t="e">
        <v>#N/A</v>
      </c>
      <c r="CA141" s="41" t="e">
        <v>#N/A</v>
      </c>
      <c r="CB141" s="41" t="e">
        <v>#N/A</v>
      </c>
      <c r="CC141" s="41" t="e">
        <v>#N/A</v>
      </c>
      <c r="CD141" s="41" t="e">
        <v>#N/A</v>
      </c>
      <c r="CE141" s="41" t="e">
        <v>#N/A</v>
      </c>
      <c r="CF141" s="41" t="e">
        <v>#N/A</v>
      </c>
      <c r="CG141" s="41" t="e">
        <v>#N/A</v>
      </c>
      <c r="CH141" s="41" t="e">
        <v>#N/A</v>
      </c>
      <c r="CI141" s="41" t="e">
        <v>#N/A</v>
      </c>
      <c r="CJ141" s="41" t="e">
        <v>#N/A</v>
      </c>
      <c r="CK141" s="41" t="e">
        <v>#N/A</v>
      </c>
      <c r="CL141" s="41" t="e">
        <v>#N/A</v>
      </c>
      <c r="CM141" s="41" t="e">
        <v>#N/A</v>
      </c>
      <c r="CN141" s="41" t="e">
        <v>#N/A</v>
      </c>
      <c r="CO141" s="58" t="e">
        <v>#N/A</v>
      </c>
      <c r="CP141" s="41" t="e">
        <v>#N/A</v>
      </c>
      <c r="CQ141" s="41" t="e">
        <v>#N/A</v>
      </c>
      <c r="CR141" s="41" t="e">
        <v>#N/A</v>
      </c>
      <c r="CS141" s="41" t="e">
        <v>#N/A</v>
      </c>
      <c r="CT141" s="41" t="e">
        <v>#N/A</v>
      </c>
      <c r="CU141" s="41" t="e">
        <v>#N/A</v>
      </c>
      <c r="CV141" s="41" t="e">
        <v>#N/A</v>
      </c>
      <c r="CW141" s="41" t="e">
        <v>#N/A</v>
      </c>
      <c r="CX141" s="41" t="e">
        <v>#N/A</v>
      </c>
      <c r="CY141" s="41" t="e">
        <v>#N/A</v>
      </c>
      <c r="CZ141" s="41" t="e">
        <v>#N/A</v>
      </c>
      <c r="DA141" s="41" t="e">
        <v>#N/A</v>
      </c>
      <c r="DB141" s="41" t="e">
        <v>#N/A</v>
      </c>
      <c r="DC141" s="41" t="e">
        <v>#N/A</v>
      </c>
      <c r="DD141" s="41" t="e">
        <v>#N/A</v>
      </c>
      <c r="DE141" s="41" t="e">
        <v>#N/A</v>
      </c>
      <c r="DF141" s="133" t="e">
        <v>#N/A</v>
      </c>
      <c r="DG141" s="41" t="e">
        <v>#N/A</v>
      </c>
      <c r="DH141" s="41" t="e">
        <v>#N/A</v>
      </c>
      <c r="DI141" s="41" t="e">
        <v>#N/A</v>
      </c>
      <c r="DJ141" s="41" t="e">
        <v>#N/A</v>
      </c>
      <c r="DK141" s="41" t="e">
        <v>#N/A</v>
      </c>
      <c r="DL141" s="41" t="e">
        <v>#N/A</v>
      </c>
      <c r="DM141" s="39" t="e">
        <f t="shared" si="4"/>
        <v>#N/A</v>
      </c>
      <c r="DN141" s="41" t="e">
        <v>#N/A</v>
      </c>
    </row>
    <row r="142" spans="1:118" ht="15.75" customHeight="1" x14ac:dyDescent="0.25">
      <c r="A142" s="37">
        <v>137</v>
      </c>
      <c r="C142" s="140">
        <v>6734</v>
      </c>
      <c r="D142" s="133" t="e">
        <v>#N/A</v>
      </c>
      <c r="E142" s="41" t="e">
        <v>#N/A</v>
      </c>
      <c r="F142" s="133" t="e">
        <v>#N/A</v>
      </c>
      <c r="G142" s="133" t="e">
        <v>#N/A</v>
      </c>
      <c r="H142" s="133" t="e">
        <v>#N/A</v>
      </c>
      <c r="I142" s="41" t="e">
        <v>#N/A</v>
      </c>
      <c r="J142" s="133" t="e">
        <v>#N/A</v>
      </c>
      <c r="K142" s="133" t="e">
        <v>#N/A</v>
      </c>
      <c r="L142" s="133" t="e">
        <v>#N/A</v>
      </c>
      <c r="M142" s="133" t="e">
        <v>#N/A</v>
      </c>
      <c r="N142" s="133" t="e">
        <v>#N/A</v>
      </c>
      <c r="O142" s="133" t="e">
        <v>#N/A</v>
      </c>
      <c r="P142" s="133" t="e">
        <v>#N/A</v>
      </c>
      <c r="Q142" s="133" t="e">
        <v>#N/A</v>
      </c>
      <c r="R142" s="41" t="e">
        <v>#N/A</v>
      </c>
      <c r="S142" s="41" t="e">
        <v>#N/A</v>
      </c>
      <c r="T142" s="41" t="e">
        <v>#N/A</v>
      </c>
      <c r="U142" s="41" t="e">
        <v>#N/A</v>
      </c>
      <c r="V142" s="41" t="e">
        <v>#N/A</v>
      </c>
      <c r="W142" s="41" t="e">
        <v>#N/A</v>
      </c>
      <c r="X142" s="41" t="e">
        <v>#N/A</v>
      </c>
      <c r="Y142" s="41" t="e">
        <v>#N/A</v>
      </c>
      <c r="Z142" s="41" t="e">
        <v>#N/A</v>
      </c>
      <c r="AA142" s="41" t="e">
        <v>#N/A</v>
      </c>
      <c r="AB142" s="133" t="e">
        <v>#N/A</v>
      </c>
      <c r="AC142" s="133" t="e">
        <v>#N/A</v>
      </c>
      <c r="AD142" s="133" t="e">
        <v>#N/A</v>
      </c>
      <c r="AE142" s="133" t="e">
        <v>#N/A</v>
      </c>
      <c r="AF142" s="133" t="e">
        <v>#N/A</v>
      </c>
      <c r="AG142" s="133" t="e">
        <v>#N/A</v>
      </c>
      <c r="AH142" s="41" t="e">
        <v>#N/A</v>
      </c>
      <c r="AI142" s="41" t="e">
        <v>#N/A</v>
      </c>
      <c r="AJ142" s="41" t="e">
        <v>#N/A</v>
      </c>
      <c r="AK142" s="41" t="e">
        <v>#N/A</v>
      </c>
      <c r="AL142" s="41" t="e">
        <v>#N/A</v>
      </c>
      <c r="AM142" s="41" t="e">
        <v>#N/A</v>
      </c>
      <c r="AN142" s="41" t="e">
        <v>#N/A</v>
      </c>
      <c r="AO142" s="41" t="e">
        <v>#N/A</v>
      </c>
      <c r="AP142" s="41" t="e">
        <v>#N/A</v>
      </c>
      <c r="AQ142" s="41" t="e">
        <v>#N/A</v>
      </c>
      <c r="AR142" s="41" t="e">
        <v>#N/A</v>
      </c>
      <c r="AS142" s="41" t="e">
        <v>#N/A</v>
      </c>
      <c r="AT142" s="41" t="e">
        <v>#N/A</v>
      </c>
      <c r="AU142" s="41" t="e">
        <v>#N/A</v>
      </c>
      <c r="AV142" s="41" t="e">
        <v>#N/A</v>
      </c>
      <c r="AW142" s="41" t="e">
        <v>#N/A</v>
      </c>
      <c r="AX142" s="41" t="e">
        <v>#N/A</v>
      </c>
      <c r="AY142" s="41" t="e">
        <v>#N/A</v>
      </c>
      <c r="AZ142" s="41" t="e">
        <v>#N/A</v>
      </c>
      <c r="BA142" s="41" t="e">
        <v>#N/A</v>
      </c>
      <c r="BB142" s="41" t="e">
        <v>#N/A</v>
      </c>
      <c r="BC142" s="41" t="e">
        <v>#N/A</v>
      </c>
      <c r="BD142" s="41" t="e">
        <v>#N/A</v>
      </c>
      <c r="BE142" s="41" t="e">
        <v>#N/A</v>
      </c>
      <c r="BF142" s="41" t="e">
        <v>#N/A</v>
      </c>
      <c r="BG142" s="41" t="e">
        <v>#N/A</v>
      </c>
      <c r="BH142" s="41" t="e">
        <v>#N/A</v>
      </c>
      <c r="BI142" s="41" t="e">
        <v>#N/A</v>
      </c>
      <c r="BJ142" s="41" t="e">
        <v>#N/A</v>
      </c>
      <c r="BK142" s="41" t="e">
        <v>#N/A</v>
      </c>
      <c r="BL142" s="41" t="e">
        <v>#N/A</v>
      </c>
      <c r="BM142" s="41" t="e">
        <v>#N/A</v>
      </c>
      <c r="BN142" s="41" t="e">
        <v>#N/A</v>
      </c>
      <c r="BO142" s="41" t="e">
        <v>#N/A</v>
      </c>
      <c r="BP142" s="41" t="e">
        <v>#N/A</v>
      </c>
      <c r="BQ142" s="41" t="e">
        <v>#N/A</v>
      </c>
      <c r="BR142" s="41" t="e">
        <v>#N/A</v>
      </c>
      <c r="BS142" s="41" t="e">
        <v>#N/A</v>
      </c>
      <c r="BT142" s="41" t="e">
        <v>#N/A</v>
      </c>
      <c r="BU142" s="41" t="e">
        <v>#N/A</v>
      </c>
      <c r="BV142" s="41" t="e">
        <v>#N/A</v>
      </c>
      <c r="BW142" s="41" t="e">
        <v>#N/A</v>
      </c>
      <c r="BX142" s="41" t="e">
        <v>#N/A</v>
      </c>
      <c r="BY142" s="41" t="e">
        <v>#N/A</v>
      </c>
      <c r="BZ142" s="41" t="e">
        <v>#N/A</v>
      </c>
      <c r="CA142" s="41" t="e">
        <v>#N/A</v>
      </c>
      <c r="CB142" s="41" t="e">
        <v>#N/A</v>
      </c>
      <c r="CC142" s="41" t="e">
        <v>#N/A</v>
      </c>
      <c r="CD142" s="41" t="e">
        <v>#N/A</v>
      </c>
      <c r="CE142" s="41" t="e">
        <v>#N/A</v>
      </c>
      <c r="CF142" s="41" t="e">
        <v>#N/A</v>
      </c>
      <c r="CG142" s="41" t="e">
        <v>#N/A</v>
      </c>
      <c r="CH142" s="41" t="e">
        <v>#N/A</v>
      </c>
      <c r="CI142" s="41" t="e">
        <v>#N/A</v>
      </c>
      <c r="CJ142" s="41" t="e">
        <v>#N/A</v>
      </c>
      <c r="CK142" s="41" t="e">
        <v>#N/A</v>
      </c>
      <c r="CL142" s="41" t="e">
        <v>#N/A</v>
      </c>
      <c r="CM142" s="41" t="e">
        <v>#N/A</v>
      </c>
      <c r="CN142" s="41" t="e">
        <v>#N/A</v>
      </c>
      <c r="CO142" s="58" t="e">
        <v>#N/A</v>
      </c>
      <c r="CP142" s="41" t="e">
        <v>#N/A</v>
      </c>
      <c r="CQ142" s="41" t="e">
        <v>#N/A</v>
      </c>
      <c r="CR142" s="41" t="e">
        <v>#N/A</v>
      </c>
      <c r="CS142" s="41" t="e">
        <v>#N/A</v>
      </c>
      <c r="CT142" s="41" t="e">
        <v>#N/A</v>
      </c>
      <c r="CU142" s="41" t="e">
        <v>#N/A</v>
      </c>
      <c r="CV142" s="41" t="e">
        <v>#N/A</v>
      </c>
      <c r="CW142" s="41" t="e">
        <v>#N/A</v>
      </c>
      <c r="CX142" s="41" t="e">
        <v>#N/A</v>
      </c>
      <c r="CY142" s="41" t="e">
        <v>#N/A</v>
      </c>
      <c r="CZ142" s="41" t="e">
        <v>#N/A</v>
      </c>
      <c r="DA142" s="41" t="e">
        <v>#N/A</v>
      </c>
      <c r="DB142" s="41" t="e">
        <v>#N/A</v>
      </c>
      <c r="DC142" s="41" t="e">
        <v>#N/A</v>
      </c>
      <c r="DD142" s="41" t="e">
        <v>#N/A</v>
      </c>
      <c r="DE142" s="41" t="e">
        <v>#N/A</v>
      </c>
      <c r="DF142" s="133" t="e">
        <v>#N/A</v>
      </c>
      <c r="DG142" s="41" t="e">
        <v>#N/A</v>
      </c>
      <c r="DH142" s="41" t="e">
        <v>#N/A</v>
      </c>
      <c r="DI142" s="41" t="e">
        <v>#N/A</v>
      </c>
      <c r="DJ142" s="41" t="e">
        <v>#N/A</v>
      </c>
      <c r="DK142" s="41" t="e">
        <v>#N/A</v>
      </c>
      <c r="DL142" s="41" t="e">
        <v>#N/A</v>
      </c>
      <c r="DM142" s="39" t="e">
        <f t="shared" si="4"/>
        <v>#N/A</v>
      </c>
      <c r="DN142" s="41" t="e">
        <v>#N/A</v>
      </c>
    </row>
    <row r="143" spans="1:118" ht="15.75" customHeight="1" x14ac:dyDescent="0.25">
      <c r="A143" s="37">
        <v>138</v>
      </c>
      <c r="C143" s="140">
        <v>7932</v>
      </c>
      <c r="D143" s="133" t="e">
        <v>#N/A</v>
      </c>
      <c r="E143" s="41" t="e">
        <v>#N/A</v>
      </c>
      <c r="F143" s="133" t="e">
        <v>#N/A</v>
      </c>
      <c r="G143" s="133" t="e">
        <v>#N/A</v>
      </c>
      <c r="H143" s="133" t="e">
        <v>#N/A</v>
      </c>
      <c r="I143" s="41" t="e">
        <v>#N/A</v>
      </c>
      <c r="J143" s="133" t="e">
        <v>#N/A</v>
      </c>
      <c r="K143" s="133" t="e">
        <v>#N/A</v>
      </c>
      <c r="L143" s="133" t="e">
        <v>#N/A</v>
      </c>
      <c r="M143" s="133" t="e">
        <v>#N/A</v>
      </c>
      <c r="N143" s="133" t="e">
        <v>#N/A</v>
      </c>
      <c r="O143" s="133" t="e">
        <v>#N/A</v>
      </c>
      <c r="P143" s="133" t="e">
        <v>#N/A</v>
      </c>
      <c r="Q143" s="133" t="e">
        <v>#N/A</v>
      </c>
      <c r="R143" s="41" t="e">
        <v>#N/A</v>
      </c>
      <c r="S143" s="41" t="e">
        <v>#N/A</v>
      </c>
      <c r="T143" s="41" t="e">
        <v>#N/A</v>
      </c>
      <c r="U143" s="41" t="e">
        <v>#N/A</v>
      </c>
      <c r="V143" s="41" t="e">
        <v>#N/A</v>
      </c>
      <c r="W143" s="41" t="e">
        <v>#N/A</v>
      </c>
      <c r="X143" s="41" t="e">
        <v>#N/A</v>
      </c>
      <c r="Y143" s="41" t="e">
        <v>#N/A</v>
      </c>
      <c r="Z143" s="41" t="e">
        <v>#N/A</v>
      </c>
      <c r="AA143" s="41" t="e">
        <v>#N/A</v>
      </c>
      <c r="AB143" s="133" t="e">
        <v>#N/A</v>
      </c>
      <c r="AC143" s="133" t="e">
        <v>#N/A</v>
      </c>
      <c r="AD143" s="133" t="e">
        <v>#N/A</v>
      </c>
      <c r="AE143" s="133" t="e">
        <v>#N/A</v>
      </c>
      <c r="AF143" s="133" t="e">
        <v>#N/A</v>
      </c>
      <c r="AG143" s="133" t="e">
        <v>#N/A</v>
      </c>
      <c r="AH143" s="41" t="e">
        <v>#N/A</v>
      </c>
      <c r="AI143" s="41" t="e">
        <v>#N/A</v>
      </c>
      <c r="AJ143" s="41" t="e">
        <v>#N/A</v>
      </c>
      <c r="AK143" s="41" t="e">
        <v>#N/A</v>
      </c>
      <c r="AL143" s="41" t="e">
        <v>#N/A</v>
      </c>
      <c r="AM143" s="41" t="e">
        <v>#N/A</v>
      </c>
      <c r="AN143" s="41" t="e">
        <v>#N/A</v>
      </c>
      <c r="AO143" s="41" t="e">
        <v>#N/A</v>
      </c>
      <c r="AP143" s="41" t="e">
        <v>#N/A</v>
      </c>
      <c r="AQ143" s="41" t="e">
        <v>#N/A</v>
      </c>
      <c r="AR143" s="41" t="e">
        <v>#N/A</v>
      </c>
      <c r="AS143" s="41" t="e">
        <v>#N/A</v>
      </c>
      <c r="AT143" s="41" t="e">
        <v>#N/A</v>
      </c>
      <c r="AU143" s="41" t="e">
        <v>#N/A</v>
      </c>
      <c r="AV143" s="41" t="e">
        <v>#N/A</v>
      </c>
      <c r="AW143" s="41" t="e">
        <v>#N/A</v>
      </c>
      <c r="AX143" s="41" t="e">
        <v>#N/A</v>
      </c>
      <c r="AY143" s="41" t="e">
        <v>#N/A</v>
      </c>
      <c r="AZ143" s="41" t="e">
        <v>#N/A</v>
      </c>
      <c r="BA143" s="41" t="e">
        <v>#N/A</v>
      </c>
      <c r="BB143" s="41" t="e">
        <v>#N/A</v>
      </c>
      <c r="BC143" s="41" t="e">
        <v>#N/A</v>
      </c>
      <c r="BD143" s="41" t="e">
        <v>#N/A</v>
      </c>
      <c r="BE143" s="41" t="e">
        <v>#N/A</v>
      </c>
      <c r="BF143" s="41" t="e">
        <v>#N/A</v>
      </c>
      <c r="BG143" s="41" t="e">
        <v>#N/A</v>
      </c>
      <c r="BH143" s="41" t="e">
        <v>#N/A</v>
      </c>
      <c r="BI143" s="41" t="e">
        <v>#N/A</v>
      </c>
      <c r="BJ143" s="41" t="e">
        <v>#N/A</v>
      </c>
      <c r="BK143" s="41" t="e">
        <v>#N/A</v>
      </c>
      <c r="BL143" s="41" t="e">
        <v>#N/A</v>
      </c>
      <c r="BM143" s="41" t="e">
        <v>#N/A</v>
      </c>
      <c r="BN143" s="41" t="e">
        <v>#N/A</v>
      </c>
      <c r="BO143" s="41" t="e">
        <v>#N/A</v>
      </c>
      <c r="BP143" s="41" t="e">
        <v>#N/A</v>
      </c>
      <c r="BQ143" s="41" t="e">
        <v>#N/A</v>
      </c>
      <c r="BR143" s="41" t="e">
        <v>#N/A</v>
      </c>
      <c r="BS143" s="41" t="e">
        <v>#N/A</v>
      </c>
      <c r="BT143" s="41" t="e">
        <v>#N/A</v>
      </c>
      <c r="BU143" s="41" t="e">
        <v>#N/A</v>
      </c>
      <c r="BV143" s="41" t="e">
        <v>#N/A</v>
      </c>
      <c r="BW143" s="41" t="e">
        <v>#N/A</v>
      </c>
      <c r="BX143" s="41" t="e">
        <v>#N/A</v>
      </c>
      <c r="BY143" s="41" t="e">
        <v>#N/A</v>
      </c>
      <c r="BZ143" s="41" t="e">
        <v>#N/A</v>
      </c>
      <c r="CA143" s="41" t="e">
        <v>#N/A</v>
      </c>
      <c r="CB143" s="41" t="e">
        <v>#N/A</v>
      </c>
      <c r="CC143" s="41" t="e">
        <v>#N/A</v>
      </c>
      <c r="CD143" s="41" t="e">
        <v>#N/A</v>
      </c>
      <c r="CE143" s="41" t="e">
        <v>#N/A</v>
      </c>
      <c r="CF143" s="41" t="e">
        <v>#N/A</v>
      </c>
      <c r="CG143" s="41" t="e">
        <v>#N/A</v>
      </c>
      <c r="CH143" s="41" t="e">
        <v>#N/A</v>
      </c>
      <c r="CI143" s="41" t="e">
        <v>#N/A</v>
      </c>
      <c r="CJ143" s="41" t="e">
        <v>#N/A</v>
      </c>
      <c r="CK143" s="41" t="e">
        <v>#N/A</v>
      </c>
      <c r="CL143" s="41" t="e">
        <v>#N/A</v>
      </c>
      <c r="CM143" s="41" t="e">
        <v>#N/A</v>
      </c>
      <c r="CN143" s="41" t="e">
        <v>#N/A</v>
      </c>
      <c r="CO143" s="58" t="e">
        <v>#N/A</v>
      </c>
      <c r="CP143" s="41" t="e">
        <v>#N/A</v>
      </c>
      <c r="CQ143" s="41" t="e">
        <v>#N/A</v>
      </c>
      <c r="CR143" s="41" t="e">
        <v>#N/A</v>
      </c>
      <c r="CS143" s="41" t="e">
        <v>#N/A</v>
      </c>
      <c r="CT143" s="41" t="e">
        <v>#N/A</v>
      </c>
      <c r="CU143" s="41" t="e">
        <v>#N/A</v>
      </c>
      <c r="CV143" s="41" t="e">
        <v>#N/A</v>
      </c>
      <c r="CW143" s="41" t="e">
        <v>#N/A</v>
      </c>
      <c r="CX143" s="41" t="e">
        <v>#N/A</v>
      </c>
      <c r="CY143" s="41" t="e">
        <v>#N/A</v>
      </c>
      <c r="CZ143" s="41" t="e">
        <v>#N/A</v>
      </c>
      <c r="DA143" s="41" t="e">
        <v>#N/A</v>
      </c>
      <c r="DB143" s="41" t="e">
        <v>#N/A</v>
      </c>
      <c r="DC143" s="41" t="e">
        <v>#N/A</v>
      </c>
      <c r="DD143" s="41" t="e">
        <v>#N/A</v>
      </c>
      <c r="DE143" s="41" t="e">
        <v>#N/A</v>
      </c>
      <c r="DF143" s="133" t="e">
        <v>#N/A</v>
      </c>
      <c r="DG143" s="41" t="e">
        <v>#N/A</v>
      </c>
      <c r="DH143" s="41" t="e">
        <v>#N/A</v>
      </c>
      <c r="DI143" s="41" t="e">
        <v>#N/A</v>
      </c>
      <c r="DJ143" s="41" t="e">
        <v>#N/A</v>
      </c>
      <c r="DK143" s="41" t="e">
        <v>#N/A</v>
      </c>
      <c r="DL143" s="41" t="e">
        <v>#N/A</v>
      </c>
      <c r="DM143" s="39" t="e">
        <f t="shared" si="4"/>
        <v>#N/A</v>
      </c>
      <c r="DN143" s="41" t="e">
        <v>#N/A</v>
      </c>
    </row>
    <row r="144" spans="1:118" ht="15.75" customHeight="1" x14ac:dyDescent="0.25">
      <c r="A144" s="37">
        <v>139</v>
      </c>
      <c r="C144" s="140">
        <v>6996</v>
      </c>
      <c r="D144" s="133" t="e">
        <v>#N/A</v>
      </c>
      <c r="E144" s="41" t="e">
        <v>#N/A</v>
      </c>
      <c r="F144" s="133" t="e">
        <v>#N/A</v>
      </c>
      <c r="G144" s="133" t="e">
        <v>#N/A</v>
      </c>
      <c r="H144" s="133" t="e">
        <v>#N/A</v>
      </c>
      <c r="I144" s="41" t="e">
        <v>#N/A</v>
      </c>
      <c r="J144" s="133" t="e">
        <v>#N/A</v>
      </c>
      <c r="K144" s="133" t="e">
        <v>#N/A</v>
      </c>
      <c r="L144" s="133" t="e">
        <v>#N/A</v>
      </c>
      <c r="M144" s="133" t="e">
        <v>#N/A</v>
      </c>
      <c r="N144" s="133" t="e">
        <v>#N/A</v>
      </c>
      <c r="O144" s="133" t="e">
        <v>#N/A</v>
      </c>
      <c r="P144" s="133" t="e">
        <v>#N/A</v>
      </c>
      <c r="Q144" s="133" t="e">
        <v>#N/A</v>
      </c>
      <c r="R144" s="41" t="e">
        <v>#N/A</v>
      </c>
      <c r="S144" s="41" t="e">
        <v>#N/A</v>
      </c>
      <c r="T144" s="41" t="e">
        <v>#N/A</v>
      </c>
      <c r="U144" s="41" t="e">
        <v>#N/A</v>
      </c>
      <c r="V144" s="41" t="e">
        <v>#N/A</v>
      </c>
      <c r="W144" s="41" t="e">
        <v>#N/A</v>
      </c>
      <c r="X144" s="41" t="e">
        <v>#N/A</v>
      </c>
      <c r="Y144" s="41" t="e">
        <v>#N/A</v>
      </c>
      <c r="Z144" s="41" t="e">
        <v>#N/A</v>
      </c>
      <c r="AA144" s="41" t="e">
        <v>#N/A</v>
      </c>
      <c r="AB144" s="133" t="e">
        <v>#N/A</v>
      </c>
      <c r="AC144" s="133" t="e">
        <v>#N/A</v>
      </c>
      <c r="AD144" s="133" t="e">
        <v>#N/A</v>
      </c>
      <c r="AE144" s="133" t="e">
        <v>#N/A</v>
      </c>
      <c r="AF144" s="133" t="e">
        <v>#N/A</v>
      </c>
      <c r="AG144" s="133" t="e">
        <v>#N/A</v>
      </c>
      <c r="AH144" s="41" t="e">
        <v>#N/A</v>
      </c>
      <c r="AI144" s="41" t="e">
        <v>#N/A</v>
      </c>
      <c r="AJ144" s="41" t="e">
        <v>#N/A</v>
      </c>
      <c r="AK144" s="41" t="e">
        <v>#N/A</v>
      </c>
      <c r="AL144" s="41" t="e">
        <v>#N/A</v>
      </c>
      <c r="AM144" s="41" t="e">
        <v>#N/A</v>
      </c>
      <c r="AN144" s="41" t="e">
        <v>#N/A</v>
      </c>
      <c r="AO144" s="41" t="e">
        <v>#N/A</v>
      </c>
      <c r="AP144" s="41" t="e">
        <v>#N/A</v>
      </c>
      <c r="AQ144" s="41" t="e">
        <v>#N/A</v>
      </c>
      <c r="AR144" s="41" t="e">
        <v>#N/A</v>
      </c>
      <c r="AS144" s="41" t="e">
        <v>#N/A</v>
      </c>
      <c r="AT144" s="41" t="e">
        <v>#N/A</v>
      </c>
      <c r="AU144" s="41" t="e">
        <v>#N/A</v>
      </c>
      <c r="AV144" s="41" t="e">
        <v>#N/A</v>
      </c>
      <c r="AW144" s="41" t="e">
        <v>#N/A</v>
      </c>
      <c r="AX144" s="41" t="e">
        <v>#N/A</v>
      </c>
      <c r="AY144" s="41" t="e">
        <v>#N/A</v>
      </c>
      <c r="AZ144" s="41" t="e">
        <v>#N/A</v>
      </c>
      <c r="BA144" s="41" t="e">
        <v>#N/A</v>
      </c>
      <c r="BB144" s="41" t="e">
        <v>#N/A</v>
      </c>
      <c r="BC144" s="41" t="e">
        <v>#N/A</v>
      </c>
      <c r="BD144" s="41" t="e">
        <v>#N/A</v>
      </c>
      <c r="BE144" s="41" t="e">
        <v>#N/A</v>
      </c>
      <c r="BF144" s="41" t="e">
        <v>#N/A</v>
      </c>
      <c r="BG144" s="41" t="e">
        <v>#N/A</v>
      </c>
      <c r="BH144" s="41" t="e">
        <v>#N/A</v>
      </c>
      <c r="BI144" s="41" t="e">
        <v>#N/A</v>
      </c>
      <c r="BJ144" s="41" t="e">
        <v>#N/A</v>
      </c>
      <c r="BK144" s="41" t="e">
        <v>#N/A</v>
      </c>
      <c r="BL144" s="41" t="e">
        <v>#N/A</v>
      </c>
      <c r="BM144" s="41" t="e">
        <v>#N/A</v>
      </c>
      <c r="BN144" s="41" t="e">
        <v>#N/A</v>
      </c>
      <c r="BO144" s="41" t="e">
        <v>#N/A</v>
      </c>
      <c r="BP144" s="41" t="e">
        <v>#N/A</v>
      </c>
      <c r="BQ144" s="41" t="e">
        <v>#N/A</v>
      </c>
      <c r="BR144" s="41" t="e">
        <v>#N/A</v>
      </c>
      <c r="BS144" s="41" t="e">
        <v>#N/A</v>
      </c>
      <c r="BT144" s="41" t="e">
        <v>#N/A</v>
      </c>
      <c r="BU144" s="41" t="e">
        <v>#N/A</v>
      </c>
      <c r="BV144" s="41" t="e">
        <v>#N/A</v>
      </c>
      <c r="BW144" s="41" t="e">
        <v>#N/A</v>
      </c>
      <c r="BX144" s="41" t="e">
        <v>#N/A</v>
      </c>
      <c r="BY144" s="41" t="e">
        <v>#N/A</v>
      </c>
      <c r="BZ144" s="41" t="e">
        <v>#N/A</v>
      </c>
      <c r="CA144" s="41" t="e">
        <v>#N/A</v>
      </c>
      <c r="CB144" s="41" t="e">
        <v>#N/A</v>
      </c>
      <c r="CC144" s="41" t="e">
        <v>#N/A</v>
      </c>
      <c r="CD144" s="41" t="e">
        <v>#N/A</v>
      </c>
      <c r="CE144" s="41" t="e">
        <v>#N/A</v>
      </c>
      <c r="CF144" s="41" t="e">
        <v>#N/A</v>
      </c>
      <c r="CG144" s="41" t="e">
        <v>#N/A</v>
      </c>
      <c r="CH144" s="41" t="e">
        <v>#N/A</v>
      </c>
      <c r="CI144" s="41" t="e">
        <v>#N/A</v>
      </c>
      <c r="CJ144" s="41" t="e">
        <v>#N/A</v>
      </c>
      <c r="CK144" s="41" t="e">
        <v>#N/A</v>
      </c>
      <c r="CL144" s="41" t="e">
        <v>#N/A</v>
      </c>
      <c r="CM144" s="41" t="e">
        <v>#N/A</v>
      </c>
      <c r="CN144" s="41" t="e">
        <v>#N/A</v>
      </c>
      <c r="CO144" s="58" t="e">
        <v>#N/A</v>
      </c>
      <c r="CP144" s="41" t="e">
        <v>#N/A</v>
      </c>
      <c r="CQ144" s="41" t="e">
        <v>#N/A</v>
      </c>
      <c r="CR144" s="41" t="e">
        <v>#N/A</v>
      </c>
      <c r="CS144" s="41" t="e">
        <v>#N/A</v>
      </c>
      <c r="CT144" s="41" t="e">
        <v>#N/A</v>
      </c>
      <c r="CU144" s="41" t="e">
        <v>#N/A</v>
      </c>
      <c r="CV144" s="41" t="e">
        <v>#N/A</v>
      </c>
      <c r="CW144" s="41" t="e">
        <v>#N/A</v>
      </c>
      <c r="CX144" s="41" t="e">
        <v>#N/A</v>
      </c>
      <c r="CY144" s="41" t="e">
        <v>#N/A</v>
      </c>
      <c r="CZ144" s="41" t="e">
        <v>#N/A</v>
      </c>
      <c r="DA144" s="41" t="e">
        <v>#N/A</v>
      </c>
      <c r="DB144" s="41" t="e">
        <v>#N/A</v>
      </c>
      <c r="DC144" s="41" t="e">
        <v>#N/A</v>
      </c>
      <c r="DD144" s="41" t="e">
        <v>#N/A</v>
      </c>
      <c r="DE144" s="41" t="e">
        <v>#N/A</v>
      </c>
      <c r="DF144" s="133" t="e">
        <v>#N/A</v>
      </c>
      <c r="DG144" s="41" t="e">
        <v>#N/A</v>
      </c>
      <c r="DH144" s="41" t="e">
        <v>#N/A</v>
      </c>
      <c r="DI144" s="41" t="e">
        <v>#N/A</v>
      </c>
      <c r="DJ144" s="41" t="e">
        <v>#N/A</v>
      </c>
      <c r="DK144" s="41" t="e">
        <v>#N/A</v>
      </c>
      <c r="DL144" s="41" t="e">
        <v>#N/A</v>
      </c>
      <c r="DM144" s="39" t="e">
        <f t="shared" si="4"/>
        <v>#N/A</v>
      </c>
      <c r="DN144" s="41" t="e">
        <v>#N/A</v>
      </c>
    </row>
    <row r="145" spans="1:118" ht="15.75" customHeight="1" x14ac:dyDescent="0.25">
      <c r="A145" s="37">
        <v>140</v>
      </c>
      <c r="C145" s="140">
        <v>8306</v>
      </c>
      <c r="D145" s="133" t="e">
        <v>#N/A</v>
      </c>
      <c r="E145" s="41" t="e">
        <v>#N/A</v>
      </c>
      <c r="F145" s="133" t="e">
        <v>#N/A</v>
      </c>
      <c r="G145" s="133" t="e">
        <v>#N/A</v>
      </c>
      <c r="H145" s="133" t="e">
        <v>#N/A</v>
      </c>
      <c r="I145" s="41" t="e">
        <v>#N/A</v>
      </c>
      <c r="J145" s="133" t="e">
        <v>#N/A</v>
      </c>
      <c r="K145" s="133" t="e">
        <v>#N/A</v>
      </c>
      <c r="L145" s="133" t="e">
        <v>#N/A</v>
      </c>
      <c r="M145" s="133" t="e">
        <v>#N/A</v>
      </c>
      <c r="N145" s="133" t="e">
        <v>#N/A</v>
      </c>
      <c r="O145" s="133" t="e">
        <v>#N/A</v>
      </c>
      <c r="P145" s="133" t="e">
        <v>#N/A</v>
      </c>
      <c r="Q145" s="133" t="e">
        <v>#N/A</v>
      </c>
      <c r="R145" s="41" t="e">
        <v>#N/A</v>
      </c>
      <c r="S145" s="41" t="e">
        <v>#N/A</v>
      </c>
      <c r="T145" s="41" t="e">
        <v>#N/A</v>
      </c>
      <c r="U145" s="41" t="e">
        <v>#N/A</v>
      </c>
      <c r="V145" s="41" t="e">
        <v>#N/A</v>
      </c>
      <c r="W145" s="41" t="e">
        <v>#N/A</v>
      </c>
      <c r="X145" s="41" t="e">
        <v>#N/A</v>
      </c>
      <c r="Y145" s="41" t="e">
        <v>#N/A</v>
      </c>
      <c r="Z145" s="41" t="e">
        <v>#N/A</v>
      </c>
      <c r="AA145" s="41" t="e">
        <v>#N/A</v>
      </c>
      <c r="AB145" s="133" t="e">
        <v>#N/A</v>
      </c>
      <c r="AC145" s="133" t="e">
        <v>#N/A</v>
      </c>
      <c r="AD145" s="133" t="e">
        <v>#N/A</v>
      </c>
      <c r="AE145" s="133" t="e">
        <v>#N/A</v>
      </c>
      <c r="AF145" s="133" t="e">
        <v>#N/A</v>
      </c>
      <c r="AG145" s="133" t="e">
        <v>#N/A</v>
      </c>
      <c r="AH145" s="41" t="e">
        <v>#N/A</v>
      </c>
      <c r="AI145" s="41" t="e">
        <v>#N/A</v>
      </c>
      <c r="AJ145" s="41" t="e">
        <v>#N/A</v>
      </c>
      <c r="AK145" s="41" t="e">
        <v>#N/A</v>
      </c>
      <c r="AL145" s="41" t="e">
        <v>#N/A</v>
      </c>
      <c r="AM145" s="41" t="e">
        <v>#N/A</v>
      </c>
      <c r="AN145" s="41" t="e">
        <v>#N/A</v>
      </c>
      <c r="AO145" s="41" t="e">
        <v>#N/A</v>
      </c>
      <c r="AP145" s="41" t="e">
        <v>#N/A</v>
      </c>
      <c r="AQ145" s="41" t="e">
        <v>#N/A</v>
      </c>
      <c r="AR145" s="41" t="e">
        <v>#N/A</v>
      </c>
      <c r="AS145" s="41" t="e">
        <v>#N/A</v>
      </c>
      <c r="AT145" s="41" t="e">
        <v>#N/A</v>
      </c>
      <c r="AU145" s="41" t="e">
        <v>#N/A</v>
      </c>
      <c r="AV145" s="41" t="e">
        <v>#N/A</v>
      </c>
      <c r="AW145" s="41" t="e">
        <v>#N/A</v>
      </c>
      <c r="AX145" s="41" t="e">
        <v>#N/A</v>
      </c>
      <c r="AY145" s="41" t="e">
        <v>#N/A</v>
      </c>
      <c r="AZ145" s="41" t="e">
        <v>#N/A</v>
      </c>
      <c r="BA145" s="41" t="e">
        <v>#N/A</v>
      </c>
      <c r="BB145" s="41" t="e">
        <v>#N/A</v>
      </c>
      <c r="BC145" s="41" t="e">
        <v>#N/A</v>
      </c>
      <c r="BD145" s="41" t="e">
        <v>#N/A</v>
      </c>
      <c r="BE145" s="41" t="e">
        <v>#N/A</v>
      </c>
      <c r="BF145" s="41" t="e">
        <v>#N/A</v>
      </c>
      <c r="BG145" s="41" t="e">
        <v>#N/A</v>
      </c>
      <c r="BH145" s="41" t="e">
        <v>#N/A</v>
      </c>
      <c r="BI145" s="41" t="e">
        <v>#N/A</v>
      </c>
      <c r="BJ145" s="41" t="e">
        <v>#N/A</v>
      </c>
      <c r="BK145" s="41" t="e">
        <v>#N/A</v>
      </c>
      <c r="BL145" s="41" t="e">
        <v>#N/A</v>
      </c>
      <c r="BM145" s="41" t="e">
        <v>#N/A</v>
      </c>
      <c r="BN145" s="41" t="e">
        <v>#N/A</v>
      </c>
      <c r="BO145" s="41" t="e">
        <v>#N/A</v>
      </c>
      <c r="BP145" s="41" t="e">
        <v>#N/A</v>
      </c>
      <c r="BQ145" s="41" t="e">
        <v>#N/A</v>
      </c>
      <c r="BR145" s="41" t="e">
        <v>#N/A</v>
      </c>
      <c r="BS145" s="41" t="e">
        <v>#N/A</v>
      </c>
      <c r="BT145" s="41" t="e">
        <v>#N/A</v>
      </c>
      <c r="BU145" s="41" t="e">
        <v>#N/A</v>
      </c>
      <c r="BV145" s="41" t="e">
        <v>#N/A</v>
      </c>
      <c r="BW145" s="41" t="e">
        <v>#N/A</v>
      </c>
      <c r="BX145" s="41" t="e">
        <v>#N/A</v>
      </c>
      <c r="BY145" s="41" t="e">
        <v>#N/A</v>
      </c>
      <c r="BZ145" s="41" t="e">
        <v>#N/A</v>
      </c>
      <c r="CA145" s="41" t="e">
        <v>#N/A</v>
      </c>
      <c r="CB145" s="41" t="e">
        <v>#N/A</v>
      </c>
      <c r="CC145" s="41" t="e">
        <v>#N/A</v>
      </c>
      <c r="CD145" s="41" t="e">
        <v>#N/A</v>
      </c>
      <c r="CE145" s="41" t="e">
        <v>#N/A</v>
      </c>
      <c r="CF145" s="41" t="e">
        <v>#N/A</v>
      </c>
      <c r="CG145" s="41" t="e">
        <v>#N/A</v>
      </c>
      <c r="CH145" s="41" t="e">
        <v>#N/A</v>
      </c>
      <c r="CI145" s="41" t="e">
        <v>#N/A</v>
      </c>
      <c r="CJ145" s="41" t="e">
        <v>#N/A</v>
      </c>
      <c r="CK145" s="41" t="e">
        <v>#N/A</v>
      </c>
      <c r="CL145" s="41" t="e">
        <v>#N/A</v>
      </c>
      <c r="CM145" s="41" t="e">
        <v>#N/A</v>
      </c>
      <c r="CN145" s="41" t="e">
        <v>#N/A</v>
      </c>
      <c r="CO145" s="58" t="e">
        <v>#N/A</v>
      </c>
      <c r="CP145" s="41" t="e">
        <v>#N/A</v>
      </c>
      <c r="CQ145" s="41" t="e">
        <v>#N/A</v>
      </c>
      <c r="CR145" s="41" t="e">
        <v>#N/A</v>
      </c>
      <c r="CS145" s="41" t="e">
        <v>#N/A</v>
      </c>
      <c r="CT145" s="41" t="e">
        <v>#N/A</v>
      </c>
      <c r="CU145" s="41" t="e">
        <v>#N/A</v>
      </c>
      <c r="CV145" s="41" t="e">
        <v>#N/A</v>
      </c>
      <c r="CW145" s="41" t="e">
        <v>#N/A</v>
      </c>
      <c r="CX145" s="41" t="e">
        <v>#N/A</v>
      </c>
      <c r="CY145" s="41" t="e">
        <v>#N/A</v>
      </c>
      <c r="CZ145" s="41" t="e">
        <v>#N/A</v>
      </c>
      <c r="DA145" s="41" t="e">
        <v>#N/A</v>
      </c>
      <c r="DB145" s="41" t="e">
        <v>#N/A</v>
      </c>
      <c r="DC145" s="41" t="e">
        <v>#N/A</v>
      </c>
      <c r="DD145" s="41" t="e">
        <v>#N/A</v>
      </c>
      <c r="DE145" s="41" t="e">
        <v>#N/A</v>
      </c>
      <c r="DF145" s="133" t="e">
        <v>#N/A</v>
      </c>
      <c r="DG145" s="41" t="e">
        <v>#N/A</v>
      </c>
      <c r="DH145" s="41" t="e">
        <v>#N/A</v>
      </c>
      <c r="DI145" s="41" t="e">
        <v>#N/A</v>
      </c>
      <c r="DJ145" s="41" t="e">
        <v>#N/A</v>
      </c>
      <c r="DK145" s="41" t="e">
        <v>#N/A</v>
      </c>
      <c r="DL145" s="41" t="e">
        <v>#N/A</v>
      </c>
      <c r="DM145" s="39" t="e">
        <f t="shared" si="4"/>
        <v>#N/A</v>
      </c>
      <c r="DN145" s="41" t="e">
        <v>#N/A</v>
      </c>
    </row>
    <row r="146" spans="1:118" ht="15.75" customHeight="1" x14ac:dyDescent="0.25">
      <c r="A146" s="37">
        <v>141</v>
      </c>
      <c r="C146" s="140">
        <v>2904</v>
      </c>
      <c r="D146" s="133" t="e">
        <v>#N/A</v>
      </c>
      <c r="E146" s="41" t="e">
        <v>#N/A</v>
      </c>
      <c r="F146" s="133" t="e">
        <v>#N/A</v>
      </c>
      <c r="G146" s="133" t="e">
        <v>#N/A</v>
      </c>
      <c r="H146" s="133" t="e">
        <v>#N/A</v>
      </c>
      <c r="I146" s="41" t="e">
        <v>#N/A</v>
      </c>
      <c r="J146" s="133" t="e">
        <v>#N/A</v>
      </c>
      <c r="K146" s="133" t="e">
        <v>#N/A</v>
      </c>
      <c r="L146" s="133" t="e">
        <v>#N/A</v>
      </c>
      <c r="M146" s="133" t="e">
        <v>#N/A</v>
      </c>
      <c r="N146" s="133" t="e">
        <v>#N/A</v>
      </c>
      <c r="O146" s="133" t="e">
        <v>#N/A</v>
      </c>
      <c r="P146" s="133" t="e">
        <v>#N/A</v>
      </c>
      <c r="Q146" s="133" t="e">
        <v>#N/A</v>
      </c>
      <c r="R146" s="41" t="e">
        <v>#N/A</v>
      </c>
      <c r="S146" s="41" t="e">
        <v>#N/A</v>
      </c>
      <c r="T146" s="41" t="e">
        <v>#N/A</v>
      </c>
      <c r="U146" s="41" t="e">
        <v>#N/A</v>
      </c>
      <c r="V146" s="41" t="e">
        <v>#N/A</v>
      </c>
      <c r="W146" s="41" t="e">
        <v>#N/A</v>
      </c>
      <c r="X146" s="41" t="e">
        <v>#N/A</v>
      </c>
      <c r="Y146" s="41" t="e">
        <v>#N/A</v>
      </c>
      <c r="Z146" s="41" t="e">
        <v>#N/A</v>
      </c>
      <c r="AA146" s="41" t="e">
        <v>#N/A</v>
      </c>
      <c r="AB146" s="133" t="e">
        <v>#N/A</v>
      </c>
      <c r="AC146" s="133" t="e">
        <v>#N/A</v>
      </c>
      <c r="AD146" s="133" t="e">
        <v>#N/A</v>
      </c>
      <c r="AE146" s="133" t="e">
        <v>#N/A</v>
      </c>
      <c r="AF146" s="133" t="e">
        <v>#N/A</v>
      </c>
      <c r="AG146" s="133" t="e">
        <v>#N/A</v>
      </c>
      <c r="AH146" s="41" t="e">
        <v>#N/A</v>
      </c>
      <c r="AI146" s="41" t="e">
        <v>#N/A</v>
      </c>
      <c r="AJ146" s="41" t="e">
        <v>#N/A</v>
      </c>
      <c r="AK146" s="41" t="e">
        <v>#N/A</v>
      </c>
      <c r="AL146" s="41" t="e">
        <v>#N/A</v>
      </c>
      <c r="AM146" s="41" t="e">
        <v>#N/A</v>
      </c>
      <c r="AN146" s="41" t="e">
        <v>#N/A</v>
      </c>
      <c r="AO146" s="41" t="e">
        <v>#N/A</v>
      </c>
      <c r="AP146" s="41" t="e">
        <v>#N/A</v>
      </c>
      <c r="AQ146" s="41" t="e">
        <v>#N/A</v>
      </c>
      <c r="AR146" s="41" t="e">
        <v>#N/A</v>
      </c>
      <c r="AS146" s="41" t="e">
        <v>#N/A</v>
      </c>
      <c r="AT146" s="41" t="e">
        <v>#N/A</v>
      </c>
      <c r="AU146" s="41" t="e">
        <v>#N/A</v>
      </c>
      <c r="AV146" s="41" t="e">
        <v>#N/A</v>
      </c>
      <c r="AW146" s="41" t="e">
        <v>#N/A</v>
      </c>
      <c r="AX146" s="41" t="e">
        <v>#N/A</v>
      </c>
      <c r="AY146" s="41" t="e">
        <v>#N/A</v>
      </c>
      <c r="AZ146" s="41" t="e">
        <v>#N/A</v>
      </c>
      <c r="BA146" s="41" t="e">
        <v>#N/A</v>
      </c>
      <c r="BB146" s="41" t="e">
        <v>#N/A</v>
      </c>
      <c r="BC146" s="41" t="e">
        <v>#N/A</v>
      </c>
      <c r="BD146" s="41" t="e">
        <v>#N/A</v>
      </c>
      <c r="BE146" s="41" t="e">
        <v>#N/A</v>
      </c>
      <c r="BF146" s="41" t="e">
        <v>#N/A</v>
      </c>
      <c r="BG146" s="41" t="e">
        <v>#N/A</v>
      </c>
      <c r="BH146" s="41" t="e">
        <v>#N/A</v>
      </c>
      <c r="BI146" s="41" t="e">
        <v>#N/A</v>
      </c>
      <c r="BJ146" s="41" t="e">
        <v>#N/A</v>
      </c>
      <c r="BK146" s="41" t="e">
        <v>#N/A</v>
      </c>
      <c r="BL146" s="41" t="e">
        <v>#N/A</v>
      </c>
      <c r="BM146" s="41" t="e">
        <v>#N/A</v>
      </c>
      <c r="BN146" s="41" t="e">
        <v>#N/A</v>
      </c>
      <c r="BO146" s="41" t="e">
        <v>#N/A</v>
      </c>
      <c r="BP146" s="41" t="e">
        <v>#N/A</v>
      </c>
      <c r="BQ146" s="41" t="e">
        <v>#N/A</v>
      </c>
      <c r="BR146" s="41" t="e">
        <v>#N/A</v>
      </c>
      <c r="BS146" s="41" t="e">
        <v>#N/A</v>
      </c>
      <c r="BT146" s="41" t="e">
        <v>#N/A</v>
      </c>
      <c r="BU146" s="41" t="e">
        <v>#N/A</v>
      </c>
      <c r="BV146" s="41" t="e">
        <v>#N/A</v>
      </c>
      <c r="BW146" s="41" t="e">
        <v>#N/A</v>
      </c>
      <c r="BX146" s="41" t="e">
        <v>#N/A</v>
      </c>
      <c r="BY146" s="41" t="e">
        <v>#N/A</v>
      </c>
      <c r="BZ146" s="41" t="e">
        <v>#N/A</v>
      </c>
      <c r="CA146" s="41" t="e">
        <v>#N/A</v>
      </c>
      <c r="CB146" s="41" t="e">
        <v>#N/A</v>
      </c>
      <c r="CC146" s="41" t="e">
        <v>#N/A</v>
      </c>
      <c r="CD146" s="41" t="e">
        <v>#N/A</v>
      </c>
      <c r="CE146" s="41" t="e">
        <v>#N/A</v>
      </c>
      <c r="CF146" s="41" t="e">
        <v>#N/A</v>
      </c>
      <c r="CG146" s="41" t="e">
        <v>#N/A</v>
      </c>
      <c r="CH146" s="41" t="e">
        <v>#N/A</v>
      </c>
      <c r="CI146" s="41" t="e">
        <v>#N/A</v>
      </c>
      <c r="CJ146" s="41" t="e">
        <v>#N/A</v>
      </c>
      <c r="CK146" s="41" t="e">
        <v>#N/A</v>
      </c>
      <c r="CL146" s="41" t="e">
        <v>#N/A</v>
      </c>
      <c r="CM146" s="41" t="e">
        <v>#N/A</v>
      </c>
      <c r="CN146" s="41" t="e">
        <v>#N/A</v>
      </c>
      <c r="CO146" s="58" t="e">
        <v>#N/A</v>
      </c>
      <c r="CP146" s="41" t="e">
        <v>#N/A</v>
      </c>
      <c r="CQ146" s="41" t="e">
        <v>#N/A</v>
      </c>
      <c r="CR146" s="41" t="e">
        <v>#N/A</v>
      </c>
      <c r="CS146" s="41" t="e">
        <v>#N/A</v>
      </c>
      <c r="CT146" s="41" t="e">
        <v>#N/A</v>
      </c>
      <c r="CU146" s="41" t="e">
        <v>#N/A</v>
      </c>
      <c r="CV146" s="41" t="e">
        <v>#N/A</v>
      </c>
      <c r="CW146" s="41" t="e">
        <v>#N/A</v>
      </c>
      <c r="CX146" s="41" t="e">
        <v>#N/A</v>
      </c>
      <c r="CY146" s="41" t="e">
        <v>#N/A</v>
      </c>
      <c r="CZ146" s="41" t="e">
        <v>#N/A</v>
      </c>
      <c r="DA146" s="41" t="e">
        <v>#N/A</v>
      </c>
      <c r="DB146" s="41" t="e">
        <v>#N/A</v>
      </c>
      <c r="DC146" s="41" t="e">
        <v>#N/A</v>
      </c>
      <c r="DD146" s="41" t="e">
        <v>#N/A</v>
      </c>
      <c r="DE146" s="41" t="e">
        <v>#N/A</v>
      </c>
      <c r="DF146" s="133" t="e">
        <v>#N/A</v>
      </c>
      <c r="DG146" s="41" t="e">
        <v>#N/A</v>
      </c>
      <c r="DH146" s="41" t="e">
        <v>#N/A</v>
      </c>
      <c r="DI146" s="41" t="e">
        <v>#N/A</v>
      </c>
      <c r="DJ146" s="41" t="e">
        <v>#N/A</v>
      </c>
      <c r="DK146" s="41" t="e">
        <v>#N/A</v>
      </c>
      <c r="DL146" s="41" t="e">
        <v>#N/A</v>
      </c>
      <c r="DM146" s="39" t="e">
        <f t="shared" si="4"/>
        <v>#N/A</v>
      </c>
      <c r="DN146" s="41" t="e">
        <v>#N/A</v>
      </c>
    </row>
    <row r="147" spans="1:118" ht="15.75" customHeight="1" x14ac:dyDescent="0.25">
      <c r="A147" s="37">
        <v>142</v>
      </c>
      <c r="C147" s="140">
        <v>2560</v>
      </c>
      <c r="D147" s="133" t="e">
        <v>#N/A</v>
      </c>
      <c r="E147" s="41" t="e">
        <v>#N/A</v>
      </c>
      <c r="F147" s="133" t="e">
        <v>#N/A</v>
      </c>
      <c r="G147" s="133" t="e">
        <v>#N/A</v>
      </c>
      <c r="H147" s="133" t="e">
        <v>#N/A</v>
      </c>
      <c r="I147" s="41" t="e">
        <v>#N/A</v>
      </c>
      <c r="J147" s="133" t="e">
        <v>#N/A</v>
      </c>
      <c r="K147" s="133" t="e">
        <v>#N/A</v>
      </c>
      <c r="L147" s="133" t="e">
        <v>#N/A</v>
      </c>
      <c r="M147" s="133" t="e">
        <v>#N/A</v>
      </c>
      <c r="N147" s="133" t="e">
        <v>#N/A</v>
      </c>
      <c r="O147" s="133" t="e">
        <v>#N/A</v>
      </c>
      <c r="P147" s="133" t="e">
        <v>#N/A</v>
      </c>
      <c r="Q147" s="133" t="e">
        <v>#N/A</v>
      </c>
      <c r="R147" s="41" t="e">
        <v>#N/A</v>
      </c>
      <c r="S147" s="41" t="e">
        <v>#N/A</v>
      </c>
      <c r="T147" s="41" t="e">
        <v>#N/A</v>
      </c>
      <c r="U147" s="41" t="e">
        <v>#N/A</v>
      </c>
      <c r="V147" s="41" t="e">
        <v>#N/A</v>
      </c>
      <c r="W147" s="41" t="e">
        <v>#N/A</v>
      </c>
      <c r="X147" s="41" t="e">
        <v>#N/A</v>
      </c>
      <c r="Y147" s="41" t="e">
        <v>#N/A</v>
      </c>
      <c r="Z147" s="41" t="e">
        <v>#N/A</v>
      </c>
      <c r="AA147" s="41" t="e">
        <v>#N/A</v>
      </c>
      <c r="AB147" s="133" t="e">
        <v>#N/A</v>
      </c>
      <c r="AC147" s="133" t="e">
        <v>#N/A</v>
      </c>
      <c r="AD147" s="133" t="e">
        <v>#N/A</v>
      </c>
      <c r="AE147" s="133" t="e">
        <v>#N/A</v>
      </c>
      <c r="AF147" s="133" t="e">
        <v>#N/A</v>
      </c>
      <c r="AG147" s="133" t="e">
        <v>#N/A</v>
      </c>
      <c r="AH147" s="41" t="e">
        <v>#N/A</v>
      </c>
      <c r="AI147" s="41" t="e">
        <v>#N/A</v>
      </c>
      <c r="AJ147" s="41" t="e">
        <v>#N/A</v>
      </c>
      <c r="AK147" s="41" t="e">
        <v>#N/A</v>
      </c>
      <c r="AL147" s="41" t="e">
        <v>#N/A</v>
      </c>
      <c r="AM147" s="41" t="e">
        <v>#N/A</v>
      </c>
      <c r="AN147" s="41" t="e">
        <v>#N/A</v>
      </c>
      <c r="AO147" s="41" t="e">
        <v>#N/A</v>
      </c>
      <c r="AP147" s="41" t="e">
        <v>#N/A</v>
      </c>
      <c r="AQ147" s="41" t="e">
        <v>#N/A</v>
      </c>
      <c r="AR147" s="41" t="e">
        <v>#N/A</v>
      </c>
      <c r="AS147" s="41" t="e">
        <v>#N/A</v>
      </c>
      <c r="AT147" s="41" t="e">
        <v>#N/A</v>
      </c>
      <c r="AU147" s="41" t="e">
        <v>#N/A</v>
      </c>
      <c r="AV147" s="41" t="e">
        <v>#N/A</v>
      </c>
      <c r="AW147" s="41" t="e">
        <v>#N/A</v>
      </c>
      <c r="AX147" s="41" t="e">
        <v>#N/A</v>
      </c>
      <c r="AY147" s="41" t="e">
        <v>#N/A</v>
      </c>
      <c r="AZ147" s="41" t="e">
        <v>#N/A</v>
      </c>
      <c r="BA147" s="41" t="e">
        <v>#N/A</v>
      </c>
      <c r="BB147" s="41" t="e">
        <v>#N/A</v>
      </c>
      <c r="BC147" s="41" t="e">
        <v>#N/A</v>
      </c>
      <c r="BD147" s="41" t="e">
        <v>#N/A</v>
      </c>
      <c r="BE147" s="41" t="e">
        <v>#N/A</v>
      </c>
      <c r="BF147" s="41" t="e">
        <v>#N/A</v>
      </c>
      <c r="BG147" s="41" t="e">
        <v>#N/A</v>
      </c>
      <c r="BH147" s="41" t="e">
        <v>#N/A</v>
      </c>
      <c r="BI147" s="41" t="e">
        <v>#N/A</v>
      </c>
      <c r="BJ147" s="41" t="e">
        <v>#N/A</v>
      </c>
      <c r="BK147" s="41" t="e">
        <v>#N/A</v>
      </c>
      <c r="BL147" s="41" t="e">
        <v>#N/A</v>
      </c>
      <c r="BM147" s="41" t="e">
        <v>#N/A</v>
      </c>
      <c r="BN147" s="41" t="e">
        <v>#N/A</v>
      </c>
      <c r="BO147" s="41" t="e">
        <v>#N/A</v>
      </c>
      <c r="BP147" s="41" t="e">
        <v>#N/A</v>
      </c>
      <c r="BQ147" s="41" t="e">
        <v>#N/A</v>
      </c>
      <c r="BR147" s="41" t="e">
        <v>#N/A</v>
      </c>
      <c r="BS147" s="41" t="e">
        <v>#N/A</v>
      </c>
      <c r="BT147" s="41" t="e">
        <v>#N/A</v>
      </c>
      <c r="BU147" s="41" t="e">
        <v>#N/A</v>
      </c>
      <c r="BV147" s="41" t="e">
        <v>#N/A</v>
      </c>
      <c r="BW147" s="41" t="e">
        <v>#N/A</v>
      </c>
      <c r="BX147" s="41" t="e">
        <v>#N/A</v>
      </c>
      <c r="BY147" s="41" t="e">
        <v>#N/A</v>
      </c>
      <c r="BZ147" s="41" t="e">
        <v>#N/A</v>
      </c>
      <c r="CA147" s="41" t="e">
        <v>#N/A</v>
      </c>
      <c r="CB147" s="41" t="e">
        <v>#N/A</v>
      </c>
      <c r="CC147" s="41" t="e">
        <v>#N/A</v>
      </c>
      <c r="CD147" s="41" t="e">
        <v>#N/A</v>
      </c>
      <c r="CE147" s="41" t="e">
        <v>#N/A</v>
      </c>
      <c r="CF147" s="41" t="e">
        <v>#N/A</v>
      </c>
      <c r="CG147" s="41" t="e">
        <v>#N/A</v>
      </c>
      <c r="CH147" s="41" t="e">
        <v>#N/A</v>
      </c>
      <c r="CI147" s="41" t="e">
        <v>#N/A</v>
      </c>
      <c r="CJ147" s="41" t="e">
        <v>#N/A</v>
      </c>
      <c r="CK147" s="41" t="e">
        <v>#N/A</v>
      </c>
      <c r="CL147" s="41" t="e">
        <v>#N/A</v>
      </c>
      <c r="CM147" s="41" t="e">
        <v>#N/A</v>
      </c>
      <c r="CN147" s="41" t="e">
        <v>#N/A</v>
      </c>
      <c r="CO147" s="58" t="e">
        <v>#N/A</v>
      </c>
      <c r="CP147" s="41" t="e">
        <v>#N/A</v>
      </c>
      <c r="CQ147" s="41" t="e">
        <v>#N/A</v>
      </c>
      <c r="CR147" s="41" t="e">
        <v>#N/A</v>
      </c>
      <c r="CS147" s="41" t="e">
        <v>#N/A</v>
      </c>
      <c r="CT147" s="41" t="e">
        <v>#N/A</v>
      </c>
      <c r="CU147" s="41" t="e">
        <v>#N/A</v>
      </c>
      <c r="CV147" s="41" t="e">
        <v>#N/A</v>
      </c>
      <c r="CW147" s="41" t="e">
        <v>#N/A</v>
      </c>
      <c r="CX147" s="41" t="e">
        <v>#N/A</v>
      </c>
      <c r="CY147" s="41" t="e">
        <v>#N/A</v>
      </c>
      <c r="CZ147" s="41" t="e">
        <v>#N/A</v>
      </c>
      <c r="DA147" s="41" t="e">
        <v>#N/A</v>
      </c>
      <c r="DB147" s="41" t="e">
        <v>#N/A</v>
      </c>
      <c r="DC147" s="41" t="e">
        <v>#N/A</v>
      </c>
      <c r="DD147" s="41" t="e">
        <v>#N/A</v>
      </c>
      <c r="DE147" s="41" t="e">
        <v>#N/A</v>
      </c>
      <c r="DF147" s="133" t="e">
        <v>#N/A</v>
      </c>
      <c r="DG147" s="41" t="e">
        <v>#N/A</v>
      </c>
      <c r="DH147" s="41" t="e">
        <v>#N/A</v>
      </c>
      <c r="DI147" s="41" t="e">
        <v>#N/A</v>
      </c>
      <c r="DJ147" s="41" t="e">
        <v>#N/A</v>
      </c>
      <c r="DK147" s="41" t="e">
        <v>#N/A</v>
      </c>
      <c r="DL147" s="41" t="e">
        <v>#N/A</v>
      </c>
      <c r="DM147" s="39" t="e">
        <f t="shared" si="4"/>
        <v>#N/A</v>
      </c>
      <c r="DN147" s="41" t="e">
        <v>#N/A</v>
      </c>
    </row>
    <row r="148" spans="1:118" ht="15.75" customHeight="1" x14ac:dyDescent="0.25">
      <c r="A148" s="37">
        <v>143</v>
      </c>
      <c r="C148" s="140">
        <v>9949</v>
      </c>
      <c r="D148" s="133" t="e">
        <v>#N/A</v>
      </c>
      <c r="E148" s="41" t="e">
        <v>#N/A</v>
      </c>
      <c r="F148" s="133" t="e">
        <v>#N/A</v>
      </c>
      <c r="G148" s="133" t="e">
        <v>#N/A</v>
      </c>
      <c r="H148" s="133" t="e">
        <v>#N/A</v>
      </c>
      <c r="I148" s="41" t="e">
        <v>#N/A</v>
      </c>
      <c r="J148" s="133" t="e">
        <v>#N/A</v>
      </c>
      <c r="K148" s="133" t="e">
        <v>#N/A</v>
      </c>
      <c r="L148" s="133" t="e">
        <v>#N/A</v>
      </c>
      <c r="M148" s="133" t="e">
        <v>#N/A</v>
      </c>
      <c r="N148" s="133" t="e">
        <v>#N/A</v>
      </c>
      <c r="O148" s="133" t="e">
        <v>#N/A</v>
      </c>
      <c r="P148" s="133" t="e">
        <v>#N/A</v>
      </c>
      <c r="Q148" s="133" t="e">
        <v>#N/A</v>
      </c>
      <c r="R148" s="41" t="e">
        <v>#N/A</v>
      </c>
      <c r="S148" s="41" t="e">
        <v>#N/A</v>
      </c>
      <c r="T148" s="41" t="e">
        <v>#N/A</v>
      </c>
      <c r="U148" s="41" t="e">
        <v>#N/A</v>
      </c>
      <c r="V148" s="41" t="e">
        <v>#N/A</v>
      </c>
      <c r="W148" s="41" t="e">
        <v>#N/A</v>
      </c>
      <c r="X148" s="41" t="e">
        <v>#N/A</v>
      </c>
      <c r="Y148" s="41" t="e">
        <v>#N/A</v>
      </c>
      <c r="Z148" s="41" t="e">
        <v>#N/A</v>
      </c>
      <c r="AA148" s="41" t="e">
        <v>#N/A</v>
      </c>
      <c r="AB148" s="133" t="e">
        <v>#N/A</v>
      </c>
      <c r="AC148" s="133" t="e">
        <v>#N/A</v>
      </c>
      <c r="AD148" s="133" t="e">
        <v>#N/A</v>
      </c>
      <c r="AE148" s="133" t="e">
        <v>#N/A</v>
      </c>
      <c r="AF148" s="133" t="e">
        <v>#N/A</v>
      </c>
      <c r="AG148" s="133" t="e">
        <v>#N/A</v>
      </c>
      <c r="AH148" s="41" t="e">
        <v>#N/A</v>
      </c>
      <c r="AI148" s="41" t="e">
        <v>#N/A</v>
      </c>
      <c r="AJ148" s="41" t="e">
        <v>#N/A</v>
      </c>
      <c r="AK148" s="41" t="e">
        <v>#N/A</v>
      </c>
      <c r="AL148" s="41" t="e">
        <v>#N/A</v>
      </c>
      <c r="AM148" s="41" t="e">
        <v>#N/A</v>
      </c>
      <c r="AN148" s="41" t="e">
        <v>#N/A</v>
      </c>
      <c r="AO148" s="41" t="e">
        <v>#N/A</v>
      </c>
      <c r="AP148" s="41" t="e">
        <v>#N/A</v>
      </c>
      <c r="AQ148" s="41" t="e">
        <v>#N/A</v>
      </c>
      <c r="AR148" s="41" t="e">
        <v>#N/A</v>
      </c>
      <c r="AS148" s="41" t="e">
        <v>#N/A</v>
      </c>
      <c r="AT148" s="41" t="e">
        <v>#N/A</v>
      </c>
      <c r="AU148" s="41" t="e">
        <v>#N/A</v>
      </c>
      <c r="AV148" s="41" t="e">
        <v>#N/A</v>
      </c>
      <c r="AW148" s="41" t="e">
        <v>#N/A</v>
      </c>
      <c r="AX148" s="41" t="e">
        <v>#N/A</v>
      </c>
      <c r="AY148" s="41" t="e">
        <v>#N/A</v>
      </c>
      <c r="AZ148" s="41" t="e">
        <v>#N/A</v>
      </c>
      <c r="BA148" s="41" t="e">
        <v>#N/A</v>
      </c>
      <c r="BB148" s="41" t="e">
        <v>#N/A</v>
      </c>
      <c r="BC148" s="41" t="e">
        <v>#N/A</v>
      </c>
      <c r="BD148" s="41" t="e">
        <v>#N/A</v>
      </c>
      <c r="BE148" s="41" t="e">
        <v>#N/A</v>
      </c>
      <c r="BF148" s="41" t="e">
        <v>#N/A</v>
      </c>
      <c r="BG148" s="41" t="e">
        <v>#N/A</v>
      </c>
      <c r="BH148" s="41" t="e">
        <v>#N/A</v>
      </c>
      <c r="BI148" s="41" t="e">
        <v>#N/A</v>
      </c>
      <c r="BJ148" s="41" t="e">
        <v>#N/A</v>
      </c>
      <c r="BK148" s="41" t="e">
        <v>#N/A</v>
      </c>
      <c r="BL148" s="41" t="e">
        <v>#N/A</v>
      </c>
      <c r="BM148" s="41" t="e">
        <v>#N/A</v>
      </c>
      <c r="BN148" s="41" t="e">
        <v>#N/A</v>
      </c>
      <c r="BO148" s="41" t="e">
        <v>#N/A</v>
      </c>
      <c r="BP148" s="41" t="e">
        <v>#N/A</v>
      </c>
      <c r="BQ148" s="41" t="e">
        <v>#N/A</v>
      </c>
      <c r="BR148" s="41" t="e">
        <v>#N/A</v>
      </c>
      <c r="BS148" s="41" t="e">
        <v>#N/A</v>
      </c>
      <c r="BT148" s="41" t="e">
        <v>#N/A</v>
      </c>
      <c r="BU148" s="41" t="e">
        <v>#N/A</v>
      </c>
      <c r="BV148" s="41" t="e">
        <v>#N/A</v>
      </c>
      <c r="BW148" s="41" t="e">
        <v>#N/A</v>
      </c>
      <c r="BX148" s="41" t="e">
        <v>#N/A</v>
      </c>
      <c r="BY148" s="41" t="e">
        <v>#N/A</v>
      </c>
      <c r="BZ148" s="41" t="e">
        <v>#N/A</v>
      </c>
      <c r="CA148" s="41" t="e">
        <v>#N/A</v>
      </c>
      <c r="CB148" s="41" t="e">
        <v>#N/A</v>
      </c>
      <c r="CC148" s="41" t="e">
        <v>#N/A</v>
      </c>
      <c r="CD148" s="41" t="e">
        <v>#N/A</v>
      </c>
      <c r="CE148" s="41" t="e">
        <v>#N/A</v>
      </c>
      <c r="CF148" s="41" t="e">
        <v>#N/A</v>
      </c>
      <c r="CG148" s="41" t="e">
        <v>#N/A</v>
      </c>
      <c r="CH148" s="41" t="e">
        <v>#N/A</v>
      </c>
      <c r="CI148" s="41" t="e">
        <v>#N/A</v>
      </c>
      <c r="CJ148" s="41" t="e">
        <v>#N/A</v>
      </c>
      <c r="CK148" s="41" t="e">
        <v>#N/A</v>
      </c>
      <c r="CL148" s="41" t="e">
        <v>#N/A</v>
      </c>
      <c r="CM148" s="41" t="e">
        <v>#N/A</v>
      </c>
      <c r="CN148" s="41" t="e">
        <v>#N/A</v>
      </c>
      <c r="CO148" s="58" t="e">
        <v>#N/A</v>
      </c>
      <c r="CP148" s="41" t="e">
        <v>#N/A</v>
      </c>
      <c r="CQ148" s="41" t="e">
        <v>#N/A</v>
      </c>
      <c r="CR148" s="41" t="e">
        <v>#N/A</v>
      </c>
      <c r="CS148" s="41" t="e">
        <v>#N/A</v>
      </c>
      <c r="CT148" s="41" t="e">
        <v>#N/A</v>
      </c>
      <c r="CU148" s="41" t="e">
        <v>#N/A</v>
      </c>
      <c r="CV148" s="41" t="e">
        <v>#N/A</v>
      </c>
      <c r="CW148" s="41" t="e">
        <v>#N/A</v>
      </c>
      <c r="CX148" s="41" t="e">
        <v>#N/A</v>
      </c>
      <c r="CY148" s="41" t="e">
        <v>#N/A</v>
      </c>
      <c r="CZ148" s="41" t="e">
        <v>#N/A</v>
      </c>
      <c r="DA148" s="41" t="e">
        <v>#N/A</v>
      </c>
      <c r="DB148" s="41" t="e">
        <v>#N/A</v>
      </c>
      <c r="DC148" s="41" t="e">
        <v>#N/A</v>
      </c>
      <c r="DD148" s="41" t="e">
        <v>#N/A</v>
      </c>
      <c r="DE148" s="41" t="e">
        <v>#N/A</v>
      </c>
      <c r="DF148" s="133" t="e">
        <v>#N/A</v>
      </c>
      <c r="DG148" s="41" t="e">
        <v>#N/A</v>
      </c>
      <c r="DH148" s="41" t="e">
        <v>#N/A</v>
      </c>
      <c r="DI148" s="41" t="e">
        <v>#N/A</v>
      </c>
      <c r="DJ148" s="41" t="e">
        <v>#N/A</v>
      </c>
      <c r="DK148" s="41" t="e">
        <v>#N/A</v>
      </c>
      <c r="DL148" s="41" t="e">
        <v>#N/A</v>
      </c>
      <c r="DM148" s="39" t="e">
        <f t="shared" si="4"/>
        <v>#N/A</v>
      </c>
      <c r="DN148" s="41" t="e">
        <v>#N/A</v>
      </c>
    </row>
    <row r="149" spans="1:118" ht="15.75" customHeight="1" x14ac:dyDescent="0.25">
      <c r="A149" s="37">
        <v>144</v>
      </c>
      <c r="C149" s="140">
        <v>8368</v>
      </c>
      <c r="D149" s="133" t="e">
        <v>#N/A</v>
      </c>
      <c r="E149" s="41" t="e">
        <v>#N/A</v>
      </c>
      <c r="F149" s="133" t="e">
        <v>#N/A</v>
      </c>
      <c r="G149" s="133" t="e">
        <v>#N/A</v>
      </c>
      <c r="H149" s="133" t="e">
        <v>#N/A</v>
      </c>
      <c r="I149" s="41" t="e">
        <v>#N/A</v>
      </c>
      <c r="J149" s="133" t="e">
        <v>#N/A</v>
      </c>
      <c r="K149" s="133" t="e">
        <v>#N/A</v>
      </c>
      <c r="L149" s="133" t="e">
        <v>#N/A</v>
      </c>
      <c r="M149" s="133" t="e">
        <v>#N/A</v>
      </c>
      <c r="N149" s="133" t="e">
        <v>#N/A</v>
      </c>
      <c r="O149" s="133" t="e">
        <v>#N/A</v>
      </c>
      <c r="P149" s="133" t="e">
        <v>#N/A</v>
      </c>
      <c r="Q149" s="133" t="e">
        <v>#N/A</v>
      </c>
      <c r="R149" s="41" t="e">
        <v>#N/A</v>
      </c>
      <c r="S149" s="41" t="e">
        <v>#N/A</v>
      </c>
      <c r="T149" s="41" t="e">
        <v>#N/A</v>
      </c>
      <c r="U149" s="41" t="e">
        <v>#N/A</v>
      </c>
      <c r="V149" s="41" t="e">
        <v>#N/A</v>
      </c>
      <c r="W149" s="41" t="e">
        <v>#N/A</v>
      </c>
      <c r="X149" s="41" t="e">
        <v>#N/A</v>
      </c>
      <c r="Y149" s="41" t="e">
        <v>#N/A</v>
      </c>
      <c r="Z149" s="41" t="e">
        <v>#N/A</v>
      </c>
      <c r="AA149" s="41" t="e">
        <v>#N/A</v>
      </c>
      <c r="AB149" s="133" t="e">
        <v>#N/A</v>
      </c>
      <c r="AC149" s="133" t="e">
        <v>#N/A</v>
      </c>
      <c r="AD149" s="133" t="e">
        <v>#N/A</v>
      </c>
      <c r="AE149" s="133" t="e">
        <v>#N/A</v>
      </c>
      <c r="AF149" s="133" t="e">
        <v>#N/A</v>
      </c>
      <c r="AG149" s="133" t="e">
        <v>#N/A</v>
      </c>
      <c r="AH149" s="41" t="e">
        <v>#N/A</v>
      </c>
      <c r="AI149" s="41" t="e">
        <v>#N/A</v>
      </c>
      <c r="AJ149" s="41" t="e">
        <v>#N/A</v>
      </c>
      <c r="AK149" s="41" t="e">
        <v>#N/A</v>
      </c>
      <c r="AL149" s="41" t="e">
        <v>#N/A</v>
      </c>
      <c r="AM149" s="41" t="e">
        <v>#N/A</v>
      </c>
      <c r="AN149" s="41" t="e">
        <v>#N/A</v>
      </c>
      <c r="AO149" s="41" t="e">
        <v>#N/A</v>
      </c>
      <c r="AP149" s="41" t="e">
        <v>#N/A</v>
      </c>
      <c r="AQ149" s="41" t="e">
        <v>#N/A</v>
      </c>
      <c r="AR149" s="41" t="e">
        <v>#N/A</v>
      </c>
      <c r="AS149" s="41" t="e">
        <v>#N/A</v>
      </c>
      <c r="AT149" s="41" t="e">
        <v>#N/A</v>
      </c>
      <c r="AU149" s="41" t="e">
        <v>#N/A</v>
      </c>
      <c r="AV149" s="41" t="e">
        <v>#N/A</v>
      </c>
      <c r="AW149" s="41" t="e">
        <v>#N/A</v>
      </c>
      <c r="AX149" s="41" t="e">
        <v>#N/A</v>
      </c>
      <c r="AY149" s="41" t="e">
        <v>#N/A</v>
      </c>
      <c r="AZ149" s="41" t="e">
        <v>#N/A</v>
      </c>
      <c r="BA149" s="41" t="e">
        <v>#N/A</v>
      </c>
      <c r="BB149" s="41" t="e">
        <v>#N/A</v>
      </c>
      <c r="BC149" s="41" t="e">
        <v>#N/A</v>
      </c>
      <c r="BD149" s="41" t="e">
        <v>#N/A</v>
      </c>
      <c r="BE149" s="41" t="e">
        <v>#N/A</v>
      </c>
      <c r="BF149" s="41" t="e">
        <v>#N/A</v>
      </c>
      <c r="BG149" s="41" t="e">
        <v>#N/A</v>
      </c>
      <c r="BH149" s="41" t="e">
        <v>#N/A</v>
      </c>
      <c r="BI149" s="41" t="e">
        <v>#N/A</v>
      </c>
      <c r="BJ149" s="41" t="e">
        <v>#N/A</v>
      </c>
      <c r="BK149" s="41" t="e">
        <v>#N/A</v>
      </c>
      <c r="BL149" s="41" t="e">
        <v>#N/A</v>
      </c>
      <c r="BM149" s="41" t="e">
        <v>#N/A</v>
      </c>
      <c r="BN149" s="41" t="e">
        <v>#N/A</v>
      </c>
      <c r="BO149" s="41" t="e">
        <v>#N/A</v>
      </c>
      <c r="BP149" s="41" t="e">
        <v>#N/A</v>
      </c>
      <c r="BQ149" s="41" t="e">
        <v>#N/A</v>
      </c>
      <c r="BR149" s="41" t="e">
        <v>#N/A</v>
      </c>
      <c r="BS149" s="41" t="e">
        <v>#N/A</v>
      </c>
      <c r="BT149" s="41" t="e">
        <v>#N/A</v>
      </c>
      <c r="BU149" s="41" t="e">
        <v>#N/A</v>
      </c>
      <c r="BV149" s="41" t="e">
        <v>#N/A</v>
      </c>
      <c r="BW149" s="41" t="e">
        <v>#N/A</v>
      </c>
      <c r="BX149" s="41" t="e">
        <v>#N/A</v>
      </c>
      <c r="BY149" s="41" t="e">
        <v>#N/A</v>
      </c>
      <c r="BZ149" s="41" t="e">
        <v>#N/A</v>
      </c>
      <c r="CA149" s="41" t="e">
        <v>#N/A</v>
      </c>
      <c r="CB149" s="41" t="e">
        <v>#N/A</v>
      </c>
      <c r="CC149" s="41" t="e">
        <v>#N/A</v>
      </c>
      <c r="CD149" s="41" t="e">
        <v>#N/A</v>
      </c>
      <c r="CE149" s="41" t="e">
        <v>#N/A</v>
      </c>
      <c r="CF149" s="41" t="e">
        <v>#N/A</v>
      </c>
      <c r="CG149" s="41" t="e">
        <v>#N/A</v>
      </c>
      <c r="CH149" s="41" t="e">
        <v>#N/A</v>
      </c>
      <c r="CI149" s="41" t="e">
        <v>#N/A</v>
      </c>
      <c r="CJ149" s="41" t="e">
        <v>#N/A</v>
      </c>
      <c r="CK149" s="41" t="e">
        <v>#N/A</v>
      </c>
      <c r="CL149" s="41" t="e">
        <v>#N/A</v>
      </c>
      <c r="CM149" s="41" t="e">
        <v>#N/A</v>
      </c>
      <c r="CN149" s="41" t="e">
        <v>#N/A</v>
      </c>
      <c r="CO149" s="58" t="e">
        <v>#N/A</v>
      </c>
      <c r="CP149" s="41" t="e">
        <v>#N/A</v>
      </c>
      <c r="CQ149" s="41" t="e">
        <v>#N/A</v>
      </c>
      <c r="CR149" s="41" t="e">
        <v>#N/A</v>
      </c>
      <c r="CS149" s="41" t="e">
        <v>#N/A</v>
      </c>
      <c r="CT149" s="41" t="e">
        <v>#N/A</v>
      </c>
      <c r="CU149" s="41" t="e">
        <v>#N/A</v>
      </c>
      <c r="CV149" s="41" t="e">
        <v>#N/A</v>
      </c>
      <c r="CW149" s="41" t="e">
        <v>#N/A</v>
      </c>
      <c r="CX149" s="41" t="e">
        <v>#N/A</v>
      </c>
      <c r="CY149" s="41" t="e">
        <v>#N/A</v>
      </c>
      <c r="CZ149" s="41" t="e">
        <v>#N/A</v>
      </c>
      <c r="DA149" s="41" t="e">
        <v>#N/A</v>
      </c>
      <c r="DB149" s="41" t="e">
        <v>#N/A</v>
      </c>
      <c r="DC149" s="41" t="e">
        <v>#N/A</v>
      </c>
      <c r="DD149" s="41" t="e">
        <v>#N/A</v>
      </c>
      <c r="DE149" s="41" t="e">
        <v>#N/A</v>
      </c>
      <c r="DF149" s="133" t="e">
        <v>#N/A</v>
      </c>
      <c r="DG149" s="41" t="e">
        <v>#N/A</v>
      </c>
      <c r="DH149" s="41" t="e">
        <v>#N/A</v>
      </c>
      <c r="DI149" s="41" t="e">
        <v>#N/A</v>
      </c>
      <c r="DJ149" s="41" t="e">
        <v>#N/A</v>
      </c>
      <c r="DK149" s="41" t="e">
        <v>#N/A</v>
      </c>
      <c r="DL149" s="41" t="e">
        <v>#N/A</v>
      </c>
      <c r="DM149" s="39" t="e">
        <f t="shared" si="4"/>
        <v>#N/A</v>
      </c>
      <c r="DN149" s="41" t="e">
        <v>#N/A</v>
      </c>
    </row>
    <row r="150" spans="1:118" ht="15.75" customHeight="1" x14ac:dyDescent="0.25">
      <c r="A150" s="37">
        <v>145</v>
      </c>
      <c r="C150" s="140">
        <v>9436</v>
      </c>
      <c r="D150" s="133" t="e">
        <v>#N/A</v>
      </c>
      <c r="E150" s="41" t="e">
        <v>#N/A</v>
      </c>
      <c r="F150" s="133" t="e">
        <v>#N/A</v>
      </c>
      <c r="G150" s="133" t="e">
        <v>#N/A</v>
      </c>
      <c r="H150" s="133" t="e">
        <v>#N/A</v>
      </c>
      <c r="I150" s="41" t="e">
        <v>#N/A</v>
      </c>
      <c r="J150" s="133" t="e">
        <v>#N/A</v>
      </c>
      <c r="K150" s="133" t="e">
        <v>#N/A</v>
      </c>
      <c r="L150" s="133" t="e">
        <v>#N/A</v>
      </c>
      <c r="M150" s="133" t="e">
        <v>#N/A</v>
      </c>
      <c r="N150" s="133" t="e">
        <v>#N/A</v>
      </c>
      <c r="O150" s="133" t="e">
        <v>#N/A</v>
      </c>
      <c r="P150" s="133" t="e">
        <v>#N/A</v>
      </c>
      <c r="Q150" s="133" t="e">
        <v>#N/A</v>
      </c>
      <c r="R150" s="41" t="e">
        <v>#N/A</v>
      </c>
      <c r="S150" s="41" t="e">
        <v>#N/A</v>
      </c>
      <c r="T150" s="41" t="e">
        <v>#N/A</v>
      </c>
      <c r="U150" s="41" t="e">
        <v>#N/A</v>
      </c>
      <c r="V150" s="41" t="e">
        <v>#N/A</v>
      </c>
      <c r="W150" s="41" t="e">
        <v>#N/A</v>
      </c>
      <c r="X150" s="41" t="e">
        <v>#N/A</v>
      </c>
      <c r="Y150" s="41" t="e">
        <v>#N/A</v>
      </c>
      <c r="Z150" s="41" t="e">
        <v>#N/A</v>
      </c>
      <c r="AA150" s="41" t="e">
        <v>#N/A</v>
      </c>
      <c r="AB150" s="133" t="e">
        <v>#N/A</v>
      </c>
      <c r="AC150" s="133" t="e">
        <v>#N/A</v>
      </c>
      <c r="AD150" s="133" t="e">
        <v>#N/A</v>
      </c>
      <c r="AE150" s="133" t="e">
        <v>#N/A</v>
      </c>
      <c r="AF150" s="133" t="e">
        <v>#N/A</v>
      </c>
      <c r="AG150" s="133" t="e">
        <v>#N/A</v>
      </c>
      <c r="AH150" s="41" t="e">
        <v>#N/A</v>
      </c>
      <c r="AI150" s="41" t="e">
        <v>#N/A</v>
      </c>
      <c r="AJ150" s="41" t="e">
        <v>#N/A</v>
      </c>
      <c r="AK150" s="41" t="e">
        <v>#N/A</v>
      </c>
      <c r="AL150" s="41" t="e">
        <v>#N/A</v>
      </c>
      <c r="AM150" s="41" t="e">
        <v>#N/A</v>
      </c>
      <c r="AN150" s="41" t="e">
        <v>#N/A</v>
      </c>
      <c r="AO150" s="41" t="e">
        <v>#N/A</v>
      </c>
      <c r="AP150" s="41" t="e">
        <v>#N/A</v>
      </c>
      <c r="AQ150" s="41" t="e">
        <v>#N/A</v>
      </c>
      <c r="AR150" s="41" t="e">
        <v>#N/A</v>
      </c>
      <c r="AS150" s="41" t="e">
        <v>#N/A</v>
      </c>
      <c r="AT150" s="41" t="e">
        <v>#N/A</v>
      </c>
      <c r="AU150" s="41" t="e">
        <v>#N/A</v>
      </c>
      <c r="AV150" s="41" t="e">
        <v>#N/A</v>
      </c>
      <c r="AW150" s="41" t="e">
        <v>#N/A</v>
      </c>
      <c r="AX150" s="41" t="e">
        <v>#N/A</v>
      </c>
      <c r="AY150" s="41" t="e">
        <v>#N/A</v>
      </c>
      <c r="AZ150" s="41" t="e">
        <v>#N/A</v>
      </c>
      <c r="BA150" s="41" t="e">
        <v>#N/A</v>
      </c>
      <c r="BB150" s="41" t="e">
        <v>#N/A</v>
      </c>
      <c r="BC150" s="41" t="e">
        <v>#N/A</v>
      </c>
      <c r="BD150" s="41" t="e">
        <v>#N/A</v>
      </c>
      <c r="BE150" s="41" t="e">
        <v>#N/A</v>
      </c>
      <c r="BF150" s="41" t="e">
        <v>#N/A</v>
      </c>
      <c r="BG150" s="41" t="e">
        <v>#N/A</v>
      </c>
      <c r="BH150" s="41" t="e">
        <v>#N/A</v>
      </c>
      <c r="BI150" s="41" t="e">
        <v>#N/A</v>
      </c>
      <c r="BJ150" s="41" t="e">
        <v>#N/A</v>
      </c>
      <c r="BK150" s="41" t="e">
        <v>#N/A</v>
      </c>
      <c r="BL150" s="41" t="e">
        <v>#N/A</v>
      </c>
      <c r="BM150" s="41" t="e">
        <v>#N/A</v>
      </c>
      <c r="BN150" s="41" t="e">
        <v>#N/A</v>
      </c>
      <c r="BO150" s="41" t="e">
        <v>#N/A</v>
      </c>
      <c r="BP150" s="41" t="e">
        <v>#N/A</v>
      </c>
      <c r="BQ150" s="41" t="e">
        <v>#N/A</v>
      </c>
      <c r="BR150" s="41" t="e">
        <v>#N/A</v>
      </c>
      <c r="BS150" s="41" t="e">
        <v>#N/A</v>
      </c>
      <c r="BT150" s="41" t="e">
        <v>#N/A</v>
      </c>
      <c r="BU150" s="41" t="e">
        <v>#N/A</v>
      </c>
      <c r="BV150" s="41" t="e">
        <v>#N/A</v>
      </c>
      <c r="BW150" s="41" t="e">
        <v>#N/A</v>
      </c>
      <c r="BX150" s="41" t="e">
        <v>#N/A</v>
      </c>
      <c r="BY150" s="41" t="e">
        <v>#N/A</v>
      </c>
      <c r="BZ150" s="41" t="e">
        <v>#N/A</v>
      </c>
      <c r="CA150" s="41" t="e">
        <v>#N/A</v>
      </c>
      <c r="CB150" s="41" t="e">
        <v>#N/A</v>
      </c>
      <c r="CC150" s="41" t="e">
        <v>#N/A</v>
      </c>
      <c r="CD150" s="41" t="e">
        <v>#N/A</v>
      </c>
      <c r="CE150" s="41" t="e">
        <v>#N/A</v>
      </c>
      <c r="CF150" s="41" t="e">
        <v>#N/A</v>
      </c>
      <c r="CG150" s="41" t="e">
        <v>#N/A</v>
      </c>
      <c r="CH150" s="41" t="e">
        <v>#N/A</v>
      </c>
      <c r="CI150" s="41" t="e">
        <v>#N/A</v>
      </c>
      <c r="CJ150" s="41" t="e">
        <v>#N/A</v>
      </c>
      <c r="CK150" s="41" t="e">
        <v>#N/A</v>
      </c>
      <c r="CL150" s="41" t="e">
        <v>#N/A</v>
      </c>
      <c r="CM150" s="41" t="e">
        <v>#N/A</v>
      </c>
      <c r="CN150" s="41" t="e">
        <v>#N/A</v>
      </c>
      <c r="CO150" s="58" t="e">
        <v>#N/A</v>
      </c>
      <c r="CP150" s="41" t="e">
        <v>#N/A</v>
      </c>
      <c r="CQ150" s="41" t="e">
        <v>#N/A</v>
      </c>
      <c r="CR150" s="41" t="e">
        <v>#N/A</v>
      </c>
      <c r="CS150" s="41" t="e">
        <v>#N/A</v>
      </c>
      <c r="CT150" s="41" t="e">
        <v>#N/A</v>
      </c>
      <c r="CU150" s="41" t="e">
        <v>#N/A</v>
      </c>
      <c r="CV150" s="41" t="e">
        <v>#N/A</v>
      </c>
      <c r="CW150" s="41" t="e">
        <v>#N/A</v>
      </c>
      <c r="CX150" s="41" t="e">
        <v>#N/A</v>
      </c>
      <c r="CY150" s="41" t="e">
        <v>#N/A</v>
      </c>
      <c r="CZ150" s="41" t="e">
        <v>#N/A</v>
      </c>
      <c r="DA150" s="41" t="e">
        <v>#N/A</v>
      </c>
      <c r="DB150" s="41" t="e">
        <v>#N/A</v>
      </c>
      <c r="DC150" s="41" t="e">
        <v>#N/A</v>
      </c>
      <c r="DD150" s="41" t="e">
        <v>#N/A</v>
      </c>
      <c r="DE150" s="41" t="e">
        <v>#N/A</v>
      </c>
      <c r="DF150" s="133" t="e">
        <v>#N/A</v>
      </c>
      <c r="DG150" s="41" t="e">
        <v>#N/A</v>
      </c>
      <c r="DH150" s="41" t="e">
        <v>#N/A</v>
      </c>
      <c r="DI150" s="41" t="e">
        <v>#N/A</v>
      </c>
      <c r="DJ150" s="41" t="e">
        <v>#N/A</v>
      </c>
      <c r="DK150" s="41" t="e">
        <v>#N/A</v>
      </c>
      <c r="DL150" s="41" t="e">
        <v>#N/A</v>
      </c>
      <c r="DM150" s="39" t="e">
        <f t="shared" si="4"/>
        <v>#N/A</v>
      </c>
      <c r="DN150" s="41" t="e">
        <v>#N/A</v>
      </c>
    </row>
    <row r="151" spans="1:118" ht="15.75" customHeight="1" x14ac:dyDescent="0.25">
      <c r="A151" s="37">
        <v>146</v>
      </c>
      <c r="C151" s="140">
        <v>1917</v>
      </c>
      <c r="D151" s="133" t="e">
        <v>#N/A</v>
      </c>
      <c r="E151" s="41" t="e">
        <v>#N/A</v>
      </c>
      <c r="F151" s="133" t="e">
        <v>#N/A</v>
      </c>
      <c r="G151" s="133" t="e">
        <v>#N/A</v>
      </c>
      <c r="H151" s="133" t="e">
        <v>#N/A</v>
      </c>
      <c r="I151" s="41" t="e">
        <v>#N/A</v>
      </c>
      <c r="J151" s="133" t="e">
        <v>#N/A</v>
      </c>
      <c r="K151" s="133" t="e">
        <v>#N/A</v>
      </c>
      <c r="L151" s="133" t="e">
        <v>#N/A</v>
      </c>
      <c r="M151" s="133" t="e">
        <v>#N/A</v>
      </c>
      <c r="N151" s="133" t="e">
        <v>#N/A</v>
      </c>
      <c r="O151" s="133" t="e">
        <v>#N/A</v>
      </c>
      <c r="P151" s="133" t="e">
        <v>#N/A</v>
      </c>
      <c r="Q151" s="133" t="e">
        <v>#N/A</v>
      </c>
      <c r="R151" s="41" t="e">
        <v>#N/A</v>
      </c>
      <c r="S151" s="41" t="e">
        <v>#N/A</v>
      </c>
      <c r="T151" s="41" t="e">
        <v>#N/A</v>
      </c>
      <c r="U151" s="41" t="e">
        <v>#N/A</v>
      </c>
      <c r="V151" s="41" t="e">
        <v>#N/A</v>
      </c>
      <c r="W151" s="41" t="e">
        <v>#N/A</v>
      </c>
      <c r="X151" s="41" t="e">
        <v>#N/A</v>
      </c>
      <c r="Y151" s="41" t="e">
        <v>#N/A</v>
      </c>
      <c r="Z151" s="41" t="e">
        <v>#N/A</v>
      </c>
      <c r="AA151" s="41" t="e">
        <v>#N/A</v>
      </c>
      <c r="AB151" s="133" t="e">
        <v>#N/A</v>
      </c>
      <c r="AC151" s="133" t="e">
        <v>#N/A</v>
      </c>
      <c r="AD151" s="133" t="e">
        <v>#N/A</v>
      </c>
      <c r="AE151" s="133" t="e">
        <v>#N/A</v>
      </c>
      <c r="AF151" s="133" t="e">
        <v>#N/A</v>
      </c>
      <c r="AG151" s="133" t="e">
        <v>#N/A</v>
      </c>
      <c r="AH151" s="41" t="e">
        <v>#N/A</v>
      </c>
      <c r="AI151" s="41" t="e">
        <v>#N/A</v>
      </c>
      <c r="AJ151" s="41" t="e">
        <v>#N/A</v>
      </c>
      <c r="AK151" s="41" t="e">
        <v>#N/A</v>
      </c>
      <c r="AL151" s="41" t="e">
        <v>#N/A</v>
      </c>
      <c r="AM151" s="41" t="e">
        <v>#N/A</v>
      </c>
      <c r="AN151" s="41" t="e">
        <v>#N/A</v>
      </c>
      <c r="AO151" s="41" t="e">
        <v>#N/A</v>
      </c>
      <c r="AP151" s="41" t="e">
        <v>#N/A</v>
      </c>
      <c r="AQ151" s="41" t="e">
        <v>#N/A</v>
      </c>
      <c r="AR151" s="41" t="e">
        <v>#N/A</v>
      </c>
      <c r="AS151" s="41" t="e">
        <v>#N/A</v>
      </c>
      <c r="AT151" s="41" t="e">
        <v>#N/A</v>
      </c>
      <c r="AU151" s="41" t="e">
        <v>#N/A</v>
      </c>
      <c r="AV151" s="41" t="e">
        <v>#N/A</v>
      </c>
      <c r="AW151" s="41" t="e">
        <v>#N/A</v>
      </c>
      <c r="AX151" s="41" t="e">
        <v>#N/A</v>
      </c>
      <c r="AY151" s="41" t="e">
        <v>#N/A</v>
      </c>
      <c r="AZ151" s="41" t="e">
        <v>#N/A</v>
      </c>
      <c r="BA151" s="41" t="e">
        <v>#N/A</v>
      </c>
      <c r="BB151" s="41" t="e">
        <v>#N/A</v>
      </c>
      <c r="BC151" s="41" t="e">
        <v>#N/A</v>
      </c>
      <c r="BD151" s="41" t="e">
        <v>#N/A</v>
      </c>
      <c r="BE151" s="41" t="e">
        <v>#N/A</v>
      </c>
      <c r="BF151" s="41" t="e">
        <v>#N/A</v>
      </c>
      <c r="BG151" s="41" t="e">
        <v>#N/A</v>
      </c>
      <c r="BH151" s="41" t="e">
        <v>#N/A</v>
      </c>
      <c r="BI151" s="41" t="e">
        <v>#N/A</v>
      </c>
      <c r="BJ151" s="41" t="e">
        <v>#N/A</v>
      </c>
      <c r="BK151" s="41" t="e">
        <v>#N/A</v>
      </c>
      <c r="BL151" s="41" t="e">
        <v>#N/A</v>
      </c>
      <c r="BM151" s="41" t="e">
        <v>#N/A</v>
      </c>
      <c r="BN151" s="41" t="e">
        <v>#N/A</v>
      </c>
      <c r="BO151" s="41" t="e">
        <v>#N/A</v>
      </c>
      <c r="BP151" s="41" t="e">
        <v>#N/A</v>
      </c>
      <c r="BQ151" s="41" t="e">
        <v>#N/A</v>
      </c>
      <c r="BR151" s="41" t="e">
        <v>#N/A</v>
      </c>
      <c r="BS151" s="41" t="e">
        <v>#N/A</v>
      </c>
      <c r="BT151" s="41" t="e">
        <v>#N/A</v>
      </c>
      <c r="BU151" s="41" t="e">
        <v>#N/A</v>
      </c>
      <c r="BV151" s="41" t="e">
        <v>#N/A</v>
      </c>
      <c r="BW151" s="41" t="e">
        <v>#N/A</v>
      </c>
      <c r="BX151" s="41" t="e">
        <v>#N/A</v>
      </c>
      <c r="BY151" s="41" t="e">
        <v>#N/A</v>
      </c>
      <c r="BZ151" s="41" t="e">
        <v>#N/A</v>
      </c>
      <c r="CA151" s="41" t="e">
        <v>#N/A</v>
      </c>
      <c r="CB151" s="41" t="e">
        <v>#N/A</v>
      </c>
      <c r="CC151" s="41" t="e">
        <v>#N/A</v>
      </c>
      <c r="CD151" s="41" t="e">
        <v>#N/A</v>
      </c>
      <c r="CE151" s="41" t="e">
        <v>#N/A</v>
      </c>
      <c r="CF151" s="41" t="e">
        <v>#N/A</v>
      </c>
      <c r="CG151" s="41" t="e">
        <v>#N/A</v>
      </c>
      <c r="CH151" s="41" t="e">
        <v>#N/A</v>
      </c>
      <c r="CI151" s="41" t="e">
        <v>#N/A</v>
      </c>
      <c r="CJ151" s="41" t="e">
        <v>#N/A</v>
      </c>
      <c r="CK151" s="41" t="e">
        <v>#N/A</v>
      </c>
      <c r="CL151" s="41" t="e">
        <v>#N/A</v>
      </c>
      <c r="CM151" s="41" t="e">
        <v>#N/A</v>
      </c>
      <c r="CN151" s="41" t="e">
        <v>#N/A</v>
      </c>
      <c r="CO151" s="58" t="e">
        <v>#N/A</v>
      </c>
      <c r="CP151" s="41" t="e">
        <v>#N/A</v>
      </c>
      <c r="CQ151" s="41" t="e">
        <v>#N/A</v>
      </c>
      <c r="CR151" s="41" t="e">
        <v>#N/A</v>
      </c>
      <c r="CS151" s="41" t="e">
        <v>#N/A</v>
      </c>
      <c r="CT151" s="41" t="e">
        <v>#N/A</v>
      </c>
      <c r="CU151" s="41" t="e">
        <v>#N/A</v>
      </c>
      <c r="CV151" s="41" t="e">
        <v>#N/A</v>
      </c>
      <c r="CW151" s="41" t="e">
        <v>#N/A</v>
      </c>
      <c r="CX151" s="41" t="e">
        <v>#N/A</v>
      </c>
      <c r="CY151" s="41" t="e">
        <v>#N/A</v>
      </c>
      <c r="CZ151" s="41" t="e">
        <v>#N/A</v>
      </c>
      <c r="DA151" s="41" t="e">
        <v>#N/A</v>
      </c>
      <c r="DB151" s="41" t="e">
        <v>#N/A</v>
      </c>
      <c r="DC151" s="41" t="e">
        <v>#N/A</v>
      </c>
      <c r="DD151" s="41" t="e">
        <v>#N/A</v>
      </c>
      <c r="DE151" s="41" t="e">
        <v>#N/A</v>
      </c>
      <c r="DF151" s="133" t="e">
        <v>#N/A</v>
      </c>
      <c r="DG151" s="41" t="e">
        <v>#N/A</v>
      </c>
      <c r="DH151" s="41" t="e">
        <v>#N/A</v>
      </c>
      <c r="DI151" s="41" t="e">
        <v>#N/A</v>
      </c>
      <c r="DJ151" s="41" t="e">
        <v>#N/A</v>
      </c>
      <c r="DK151" s="41" t="e">
        <v>#N/A</v>
      </c>
      <c r="DL151" s="41" t="e">
        <v>#N/A</v>
      </c>
      <c r="DM151" s="39" t="e">
        <f t="shared" si="4"/>
        <v>#N/A</v>
      </c>
      <c r="DN151" s="41" t="e">
        <v>#N/A</v>
      </c>
    </row>
    <row r="152" spans="1:118" ht="15.75" customHeight="1" x14ac:dyDescent="0.25">
      <c r="A152" s="37">
        <v>147</v>
      </c>
      <c r="C152" s="140">
        <v>3526</v>
      </c>
      <c r="D152" s="133" t="e">
        <v>#N/A</v>
      </c>
      <c r="E152" s="41" t="e">
        <v>#N/A</v>
      </c>
      <c r="F152" s="133" t="e">
        <v>#N/A</v>
      </c>
      <c r="G152" s="133" t="e">
        <v>#N/A</v>
      </c>
      <c r="H152" s="133" t="e">
        <v>#N/A</v>
      </c>
      <c r="I152" s="41" t="e">
        <v>#N/A</v>
      </c>
      <c r="J152" s="133" t="e">
        <v>#N/A</v>
      </c>
      <c r="K152" s="133" t="e">
        <v>#N/A</v>
      </c>
      <c r="L152" s="133" t="e">
        <v>#N/A</v>
      </c>
      <c r="M152" s="133" t="e">
        <v>#N/A</v>
      </c>
      <c r="N152" s="133" t="e">
        <v>#N/A</v>
      </c>
      <c r="O152" s="133" t="e">
        <v>#N/A</v>
      </c>
      <c r="P152" s="133" t="e">
        <v>#N/A</v>
      </c>
      <c r="Q152" s="133" t="e">
        <v>#N/A</v>
      </c>
      <c r="R152" s="41" t="e">
        <v>#N/A</v>
      </c>
      <c r="S152" s="41" t="e">
        <v>#N/A</v>
      </c>
      <c r="T152" s="41" t="e">
        <v>#N/A</v>
      </c>
      <c r="U152" s="41" t="e">
        <v>#N/A</v>
      </c>
      <c r="V152" s="41" t="e">
        <v>#N/A</v>
      </c>
      <c r="W152" s="41" t="e">
        <v>#N/A</v>
      </c>
      <c r="X152" s="41" t="e">
        <v>#N/A</v>
      </c>
      <c r="Y152" s="41" t="e">
        <v>#N/A</v>
      </c>
      <c r="Z152" s="41" t="e">
        <v>#N/A</v>
      </c>
      <c r="AA152" s="41" t="e">
        <v>#N/A</v>
      </c>
      <c r="AB152" s="133" t="e">
        <v>#N/A</v>
      </c>
      <c r="AC152" s="133" t="e">
        <v>#N/A</v>
      </c>
      <c r="AD152" s="133" t="e">
        <v>#N/A</v>
      </c>
      <c r="AE152" s="133" t="e">
        <v>#N/A</v>
      </c>
      <c r="AF152" s="133" t="e">
        <v>#N/A</v>
      </c>
      <c r="AG152" s="133" t="e">
        <v>#N/A</v>
      </c>
      <c r="AH152" s="41" t="e">
        <v>#N/A</v>
      </c>
      <c r="AI152" s="41" t="e">
        <v>#N/A</v>
      </c>
      <c r="AJ152" s="41" t="e">
        <v>#N/A</v>
      </c>
      <c r="AK152" s="41" t="e">
        <v>#N/A</v>
      </c>
      <c r="AL152" s="41" t="e">
        <v>#N/A</v>
      </c>
      <c r="AM152" s="41" t="e">
        <v>#N/A</v>
      </c>
      <c r="AN152" s="41" t="e">
        <v>#N/A</v>
      </c>
      <c r="AO152" s="41" t="e">
        <v>#N/A</v>
      </c>
      <c r="AP152" s="41" t="e">
        <v>#N/A</v>
      </c>
      <c r="AQ152" s="41" t="e">
        <v>#N/A</v>
      </c>
      <c r="AR152" s="41" t="e">
        <v>#N/A</v>
      </c>
      <c r="AS152" s="41" t="e">
        <v>#N/A</v>
      </c>
      <c r="AT152" s="41" t="e">
        <v>#N/A</v>
      </c>
      <c r="AU152" s="41" t="e">
        <v>#N/A</v>
      </c>
      <c r="AV152" s="41" t="e">
        <v>#N/A</v>
      </c>
      <c r="AW152" s="41" t="e">
        <v>#N/A</v>
      </c>
      <c r="AX152" s="41" t="e">
        <v>#N/A</v>
      </c>
      <c r="AY152" s="41" t="e">
        <v>#N/A</v>
      </c>
      <c r="AZ152" s="41" t="e">
        <v>#N/A</v>
      </c>
      <c r="BA152" s="41" t="e">
        <v>#N/A</v>
      </c>
      <c r="BB152" s="41" t="e">
        <v>#N/A</v>
      </c>
      <c r="BC152" s="41" t="e">
        <v>#N/A</v>
      </c>
      <c r="BD152" s="41" t="e">
        <v>#N/A</v>
      </c>
      <c r="BE152" s="41" t="e">
        <v>#N/A</v>
      </c>
      <c r="BF152" s="41" t="e">
        <v>#N/A</v>
      </c>
      <c r="BG152" s="41" t="e">
        <v>#N/A</v>
      </c>
      <c r="BH152" s="41" t="e">
        <v>#N/A</v>
      </c>
      <c r="BI152" s="41" t="e">
        <v>#N/A</v>
      </c>
      <c r="BJ152" s="41" t="e">
        <v>#N/A</v>
      </c>
      <c r="BK152" s="41" t="e">
        <v>#N/A</v>
      </c>
      <c r="BL152" s="41" t="e">
        <v>#N/A</v>
      </c>
      <c r="BM152" s="41" t="e">
        <v>#N/A</v>
      </c>
      <c r="BN152" s="41" t="e">
        <v>#N/A</v>
      </c>
      <c r="BO152" s="41" t="e">
        <v>#N/A</v>
      </c>
      <c r="BP152" s="41" t="e">
        <v>#N/A</v>
      </c>
      <c r="BQ152" s="41" t="e">
        <v>#N/A</v>
      </c>
      <c r="BR152" s="41" t="e">
        <v>#N/A</v>
      </c>
      <c r="BS152" s="41" t="e">
        <v>#N/A</v>
      </c>
      <c r="BT152" s="41" t="e">
        <v>#N/A</v>
      </c>
      <c r="BU152" s="41" t="e">
        <v>#N/A</v>
      </c>
      <c r="BV152" s="41" t="e">
        <v>#N/A</v>
      </c>
      <c r="BW152" s="41" t="e">
        <v>#N/A</v>
      </c>
      <c r="BX152" s="41" t="e">
        <v>#N/A</v>
      </c>
      <c r="BY152" s="41" t="e">
        <v>#N/A</v>
      </c>
      <c r="BZ152" s="41" t="e">
        <v>#N/A</v>
      </c>
      <c r="CA152" s="41" t="e">
        <v>#N/A</v>
      </c>
      <c r="CB152" s="41" t="e">
        <v>#N/A</v>
      </c>
      <c r="CC152" s="41" t="e">
        <v>#N/A</v>
      </c>
      <c r="CD152" s="41" t="e">
        <v>#N/A</v>
      </c>
      <c r="CE152" s="41" t="e">
        <v>#N/A</v>
      </c>
      <c r="CF152" s="41" t="e">
        <v>#N/A</v>
      </c>
      <c r="CG152" s="41" t="e">
        <v>#N/A</v>
      </c>
      <c r="CH152" s="41" t="e">
        <v>#N/A</v>
      </c>
      <c r="CI152" s="41" t="e">
        <v>#N/A</v>
      </c>
      <c r="CJ152" s="41" t="e">
        <v>#N/A</v>
      </c>
      <c r="CK152" s="41" t="e">
        <v>#N/A</v>
      </c>
      <c r="CL152" s="41" t="e">
        <v>#N/A</v>
      </c>
      <c r="CM152" s="41" t="e">
        <v>#N/A</v>
      </c>
      <c r="CN152" s="41" t="e">
        <v>#N/A</v>
      </c>
      <c r="CO152" s="58" t="e">
        <v>#N/A</v>
      </c>
      <c r="CP152" s="41" t="e">
        <v>#N/A</v>
      </c>
      <c r="CQ152" s="41" t="e">
        <v>#N/A</v>
      </c>
      <c r="CR152" s="41" t="e">
        <v>#N/A</v>
      </c>
      <c r="CS152" s="41" t="e">
        <v>#N/A</v>
      </c>
      <c r="CT152" s="41" t="e">
        <v>#N/A</v>
      </c>
      <c r="CU152" s="41" t="e">
        <v>#N/A</v>
      </c>
      <c r="CV152" s="41" t="e">
        <v>#N/A</v>
      </c>
      <c r="CW152" s="41" t="e">
        <v>#N/A</v>
      </c>
      <c r="CX152" s="41" t="e">
        <v>#N/A</v>
      </c>
      <c r="CY152" s="41" t="e">
        <v>#N/A</v>
      </c>
      <c r="CZ152" s="41" t="e">
        <v>#N/A</v>
      </c>
      <c r="DA152" s="41" t="e">
        <v>#N/A</v>
      </c>
      <c r="DB152" s="41" t="e">
        <v>#N/A</v>
      </c>
      <c r="DC152" s="41" t="e">
        <v>#N/A</v>
      </c>
      <c r="DD152" s="41" t="e">
        <v>#N/A</v>
      </c>
      <c r="DE152" s="41" t="e">
        <v>#N/A</v>
      </c>
      <c r="DF152" s="133" t="e">
        <v>#N/A</v>
      </c>
      <c r="DG152" s="41" t="e">
        <v>#N/A</v>
      </c>
      <c r="DH152" s="41" t="e">
        <v>#N/A</v>
      </c>
      <c r="DI152" s="41" t="e">
        <v>#N/A</v>
      </c>
      <c r="DJ152" s="41" t="e">
        <v>#N/A</v>
      </c>
      <c r="DK152" s="41" t="e">
        <v>#N/A</v>
      </c>
      <c r="DL152" s="41" t="e">
        <v>#N/A</v>
      </c>
      <c r="DM152" s="39" t="e">
        <f t="shared" si="4"/>
        <v>#N/A</v>
      </c>
      <c r="DN152" s="41" t="e">
        <v>#N/A</v>
      </c>
    </row>
    <row r="153" spans="1:118" ht="15.75" customHeight="1" x14ac:dyDescent="0.25">
      <c r="A153" s="37">
        <v>148</v>
      </c>
      <c r="C153" s="140">
        <v>4284</v>
      </c>
      <c r="D153" s="133" t="e">
        <v>#N/A</v>
      </c>
      <c r="E153" s="41" t="e">
        <v>#N/A</v>
      </c>
      <c r="F153" s="133" t="e">
        <v>#N/A</v>
      </c>
      <c r="G153" s="133" t="e">
        <v>#N/A</v>
      </c>
      <c r="H153" s="133" t="e">
        <v>#N/A</v>
      </c>
      <c r="I153" s="41" t="e">
        <v>#N/A</v>
      </c>
      <c r="J153" s="133" t="e">
        <v>#N/A</v>
      </c>
      <c r="K153" s="133" t="e">
        <v>#N/A</v>
      </c>
      <c r="L153" s="133" t="e">
        <v>#N/A</v>
      </c>
      <c r="M153" s="133" t="e">
        <v>#N/A</v>
      </c>
      <c r="N153" s="133" t="e">
        <v>#N/A</v>
      </c>
      <c r="O153" s="133" t="e">
        <v>#N/A</v>
      </c>
      <c r="P153" s="133" t="e">
        <v>#N/A</v>
      </c>
      <c r="Q153" s="133" t="e">
        <v>#N/A</v>
      </c>
      <c r="R153" s="41" t="e">
        <v>#N/A</v>
      </c>
      <c r="S153" s="41" t="e">
        <v>#N/A</v>
      </c>
      <c r="T153" s="41" t="e">
        <v>#N/A</v>
      </c>
      <c r="U153" s="41" t="e">
        <v>#N/A</v>
      </c>
      <c r="V153" s="41" t="e">
        <v>#N/A</v>
      </c>
      <c r="W153" s="41" t="e">
        <v>#N/A</v>
      </c>
      <c r="X153" s="41" t="e">
        <v>#N/A</v>
      </c>
      <c r="Y153" s="41" t="e">
        <v>#N/A</v>
      </c>
      <c r="Z153" s="41" t="e">
        <v>#N/A</v>
      </c>
      <c r="AA153" s="41" t="e">
        <v>#N/A</v>
      </c>
      <c r="AB153" s="133" t="e">
        <v>#N/A</v>
      </c>
      <c r="AC153" s="133" t="e">
        <v>#N/A</v>
      </c>
      <c r="AD153" s="133" t="e">
        <v>#N/A</v>
      </c>
      <c r="AE153" s="133" t="e">
        <v>#N/A</v>
      </c>
      <c r="AF153" s="133" t="e">
        <v>#N/A</v>
      </c>
      <c r="AG153" s="133" t="e">
        <v>#N/A</v>
      </c>
      <c r="AH153" s="41" t="e">
        <v>#N/A</v>
      </c>
      <c r="AI153" s="41" t="e">
        <v>#N/A</v>
      </c>
      <c r="AJ153" s="41" t="e">
        <v>#N/A</v>
      </c>
      <c r="AK153" s="41" t="e">
        <v>#N/A</v>
      </c>
      <c r="AL153" s="41" t="e">
        <v>#N/A</v>
      </c>
      <c r="AM153" s="41" t="e">
        <v>#N/A</v>
      </c>
      <c r="AN153" s="41" t="e">
        <v>#N/A</v>
      </c>
      <c r="AO153" s="41" t="e">
        <v>#N/A</v>
      </c>
      <c r="AP153" s="41" t="e">
        <v>#N/A</v>
      </c>
      <c r="AQ153" s="41" t="e">
        <v>#N/A</v>
      </c>
      <c r="AR153" s="41" t="e">
        <v>#N/A</v>
      </c>
      <c r="AS153" s="41" t="e">
        <v>#N/A</v>
      </c>
      <c r="AT153" s="41" t="e">
        <v>#N/A</v>
      </c>
      <c r="AU153" s="41" t="e">
        <v>#N/A</v>
      </c>
      <c r="AV153" s="41" t="e">
        <v>#N/A</v>
      </c>
      <c r="AW153" s="41" t="e">
        <v>#N/A</v>
      </c>
      <c r="AX153" s="41" t="e">
        <v>#N/A</v>
      </c>
      <c r="AY153" s="41" t="e">
        <v>#N/A</v>
      </c>
      <c r="AZ153" s="41" t="e">
        <v>#N/A</v>
      </c>
      <c r="BA153" s="41" t="e">
        <v>#N/A</v>
      </c>
      <c r="BB153" s="41" t="e">
        <v>#N/A</v>
      </c>
      <c r="BC153" s="41" t="e">
        <v>#N/A</v>
      </c>
      <c r="BD153" s="41" t="e">
        <v>#N/A</v>
      </c>
      <c r="BE153" s="41" t="e">
        <v>#N/A</v>
      </c>
      <c r="BF153" s="41" t="e">
        <v>#N/A</v>
      </c>
      <c r="BG153" s="41" t="e">
        <v>#N/A</v>
      </c>
      <c r="BH153" s="41" t="e">
        <v>#N/A</v>
      </c>
      <c r="BI153" s="41" t="e">
        <v>#N/A</v>
      </c>
      <c r="BJ153" s="41" t="e">
        <v>#N/A</v>
      </c>
      <c r="BK153" s="41" t="e">
        <v>#N/A</v>
      </c>
      <c r="BL153" s="41" t="e">
        <v>#N/A</v>
      </c>
      <c r="BM153" s="41" t="e">
        <v>#N/A</v>
      </c>
      <c r="BN153" s="41" t="e">
        <v>#N/A</v>
      </c>
      <c r="BO153" s="41" t="e">
        <v>#N/A</v>
      </c>
      <c r="BP153" s="41" t="e">
        <v>#N/A</v>
      </c>
      <c r="BQ153" s="41" t="e">
        <v>#N/A</v>
      </c>
      <c r="BR153" s="41" t="e">
        <v>#N/A</v>
      </c>
      <c r="BS153" s="41" t="e">
        <v>#N/A</v>
      </c>
      <c r="BT153" s="41" t="e">
        <v>#N/A</v>
      </c>
      <c r="BU153" s="41" t="e">
        <v>#N/A</v>
      </c>
      <c r="BV153" s="41" t="e">
        <v>#N/A</v>
      </c>
      <c r="BW153" s="41" t="e">
        <v>#N/A</v>
      </c>
      <c r="BX153" s="41" t="e">
        <v>#N/A</v>
      </c>
      <c r="BY153" s="41" t="e">
        <v>#N/A</v>
      </c>
      <c r="BZ153" s="41" t="e">
        <v>#N/A</v>
      </c>
      <c r="CA153" s="41" t="e">
        <v>#N/A</v>
      </c>
      <c r="CB153" s="41" t="e">
        <v>#N/A</v>
      </c>
      <c r="CC153" s="41" t="e">
        <v>#N/A</v>
      </c>
      <c r="CD153" s="41" t="e">
        <v>#N/A</v>
      </c>
      <c r="CE153" s="41" t="e">
        <v>#N/A</v>
      </c>
      <c r="CF153" s="41" t="e">
        <v>#N/A</v>
      </c>
      <c r="CG153" s="41" t="e">
        <v>#N/A</v>
      </c>
      <c r="CH153" s="41" t="e">
        <v>#N/A</v>
      </c>
      <c r="CI153" s="41" t="e">
        <v>#N/A</v>
      </c>
      <c r="CJ153" s="41" t="e">
        <v>#N/A</v>
      </c>
      <c r="CK153" s="41" t="e">
        <v>#N/A</v>
      </c>
      <c r="CL153" s="41" t="e">
        <v>#N/A</v>
      </c>
      <c r="CM153" s="41" t="e">
        <v>#N/A</v>
      </c>
      <c r="CN153" s="41" t="e">
        <v>#N/A</v>
      </c>
      <c r="CO153" s="58" t="e">
        <v>#N/A</v>
      </c>
      <c r="CP153" s="41" t="e">
        <v>#N/A</v>
      </c>
      <c r="CQ153" s="41" t="e">
        <v>#N/A</v>
      </c>
      <c r="CR153" s="41" t="e">
        <v>#N/A</v>
      </c>
      <c r="CS153" s="41" t="e">
        <v>#N/A</v>
      </c>
      <c r="CT153" s="41" t="e">
        <v>#N/A</v>
      </c>
      <c r="CU153" s="41" t="e">
        <v>#N/A</v>
      </c>
      <c r="CV153" s="41" t="e">
        <v>#N/A</v>
      </c>
      <c r="CW153" s="41" t="e">
        <v>#N/A</v>
      </c>
      <c r="CX153" s="41" t="e">
        <v>#N/A</v>
      </c>
      <c r="CY153" s="41" t="e">
        <v>#N/A</v>
      </c>
      <c r="CZ153" s="41" t="e">
        <v>#N/A</v>
      </c>
      <c r="DA153" s="41" t="e">
        <v>#N/A</v>
      </c>
      <c r="DB153" s="41" t="e">
        <v>#N/A</v>
      </c>
      <c r="DC153" s="41" t="e">
        <v>#N/A</v>
      </c>
      <c r="DD153" s="41" t="e">
        <v>#N/A</v>
      </c>
      <c r="DE153" s="41" t="e">
        <v>#N/A</v>
      </c>
      <c r="DF153" s="133" t="e">
        <v>#N/A</v>
      </c>
      <c r="DG153" s="41" t="e">
        <v>#N/A</v>
      </c>
      <c r="DH153" s="41" t="e">
        <v>#N/A</v>
      </c>
      <c r="DI153" s="41" t="e">
        <v>#N/A</v>
      </c>
      <c r="DJ153" s="41" t="e">
        <v>#N/A</v>
      </c>
      <c r="DK153" s="41" t="e">
        <v>#N/A</v>
      </c>
      <c r="DL153" s="41" t="e">
        <v>#N/A</v>
      </c>
      <c r="DM153" s="39" t="e">
        <f t="shared" si="4"/>
        <v>#N/A</v>
      </c>
      <c r="DN153" s="41" t="e">
        <v>#N/A</v>
      </c>
    </row>
    <row r="154" spans="1:118" ht="15.75" customHeight="1" x14ac:dyDescent="0.25">
      <c r="A154" s="37">
        <v>149</v>
      </c>
      <c r="C154" s="140">
        <v>5642</v>
      </c>
      <c r="D154" s="133" t="e">
        <v>#N/A</v>
      </c>
      <c r="E154" s="41" t="e">
        <v>#N/A</v>
      </c>
      <c r="F154" s="133" t="e">
        <v>#N/A</v>
      </c>
      <c r="G154" s="133" t="e">
        <v>#N/A</v>
      </c>
      <c r="H154" s="133" t="e">
        <v>#N/A</v>
      </c>
      <c r="I154" s="41" t="e">
        <v>#N/A</v>
      </c>
      <c r="J154" s="133" t="e">
        <v>#N/A</v>
      </c>
      <c r="K154" s="133" t="e">
        <v>#N/A</v>
      </c>
      <c r="L154" s="133" t="e">
        <v>#N/A</v>
      </c>
      <c r="M154" s="133" t="e">
        <v>#N/A</v>
      </c>
      <c r="N154" s="133" t="e">
        <v>#N/A</v>
      </c>
      <c r="O154" s="133" t="e">
        <v>#N/A</v>
      </c>
      <c r="P154" s="133" t="e">
        <v>#N/A</v>
      </c>
      <c r="Q154" s="133" t="e">
        <v>#N/A</v>
      </c>
      <c r="R154" s="41" t="e">
        <v>#N/A</v>
      </c>
      <c r="S154" s="41" t="e">
        <v>#N/A</v>
      </c>
      <c r="T154" s="41" t="e">
        <v>#N/A</v>
      </c>
      <c r="U154" s="41" t="e">
        <v>#N/A</v>
      </c>
      <c r="V154" s="41" t="e">
        <v>#N/A</v>
      </c>
      <c r="W154" s="41" t="e">
        <v>#N/A</v>
      </c>
      <c r="X154" s="41" t="e">
        <v>#N/A</v>
      </c>
      <c r="Y154" s="41" t="e">
        <v>#N/A</v>
      </c>
      <c r="Z154" s="41" t="e">
        <v>#N/A</v>
      </c>
      <c r="AA154" s="41" t="e">
        <v>#N/A</v>
      </c>
      <c r="AB154" s="133" t="e">
        <v>#N/A</v>
      </c>
      <c r="AC154" s="133" t="e">
        <v>#N/A</v>
      </c>
      <c r="AD154" s="133" t="e">
        <v>#N/A</v>
      </c>
      <c r="AE154" s="133" t="e">
        <v>#N/A</v>
      </c>
      <c r="AF154" s="133" t="e">
        <v>#N/A</v>
      </c>
      <c r="AG154" s="133" t="e">
        <v>#N/A</v>
      </c>
      <c r="AH154" s="41" t="e">
        <v>#N/A</v>
      </c>
      <c r="AI154" s="41" t="e">
        <v>#N/A</v>
      </c>
      <c r="AJ154" s="41" t="e">
        <v>#N/A</v>
      </c>
      <c r="AK154" s="41" t="e">
        <v>#N/A</v>
      </c>
      <c r="AL154" s="41" t="e">
        <v>#N/A</v>
      </c>
      <c r="AM154" s="41" t="e">
        <v>#N/A</v>
      </c>
      <c r="AN154" s="41" t="e">
        <v>#N/A</v>
      </c>
      <c r="AO154" s="41" t="e">
        <v>#N/A</v>
      </c>
      <c r="AP154" s="41" t="e">
        <v>#N/A</v>
      </c>
      <c r="AQ154" s="41" t="e">
        <v>#N/A</v>
      </c>
      <c r="AR154" s="41" t="e">
        <v>#N/A</v>
      </c>
      <c r="AS154" s="41" t="e">
        <v>#N/A</v>
      </c>
      <c r="AT154" s="41" t="e">
        <v>#N/A</v>
      </c>
      <c r="AU154" s="41" t="e">
        <v>#N/A</v>
      </c>
      <c r="AV154" s="41" t="e">
        <v>#N/A</v>
      </c>
      <c r="AW154" s="41" t="e">
        <v>#N/A</v>
      </c>
      <c r="AX154" s="41" t="e">
        <v>#N/A</v>
      </c>
      <c r="AY154" s="41" t="e">
        <v>#N/A</v>
      </c>
      <c r="AZ154" s="41" t="e">
        <v>#N/A</v>
      </c>
      <c r="BA154" s="41" t="e">
        <v>#N/A</v>
      </c>
      <c r="BB154" s="41" t="e">
        <v>#N/A</v>
      </c>
      <c r="BC154" s="41" t="e">
        <v>#N/A</v>
      </c>
      <c r="BD154" s="41" t="e">
        <v>#N/A</v>
      </c>
      <c r="BE154" s="41" t="e">
        <v>#N/A</v>
      </c>
      <c r="BF154" s="41" t="e">
        <v>#N/A</v>
      </c>
      <c r="BG154" s="41" t="e">
        <v>#N/A</v>
      </c>
      <c r="BH154" s="41" t="e">
        <v>#N/A</v>
      </c>
      <c r="BI154" s="41" t="e">
        <v>#N/A</v>
      </c>
      <c r="BJ154" s="41" t="e">
        <v>#N/A</v>
      </c>
      <c r="BK154" s="41" t="e">
        <v>#N/A</v>
      </c>
      <c r="BL154" s="41" t="e">
        <v>#N/A</v>
      </c>
      <c r="BM154" s="41" t="e">
        <v>#N/A</v>
      </c>
      <c r="BN154" s="41" t="e">
        <v>#N/A</v>
      </c>
      <c r="BO154" s="41" t="e">
        <v>#N/A</v>
      </c>
      <c r="BP154" s="41" t="e">
        <v>#N/A</v>
      </c>
      <c r="BQ154" s="41" t="e">
        <v>#N/A</v>
      </c>
      <c r="BR154" s="41" t="e">
        <v>#N/A</v>
      </c>
      <c r="BS154" s="41" t="e">
        <v>#N/A</v>
      </c>
      <c r="BT154" s="41" t="e">
        <v>#N/A</v>
      </c>
      <c r="BU154" s="41" t="e">
        <v>#N/A</v>
      </c>
      <c r="BV154" s="41" t="e">
        <v>#N/A</v>
      </c>
      <c r="BW154" s="41" t="e">
        <v>#N/A</v>
      </c>
      <c r="BX154" s="41" t="e">
        <v>#N/A</v>
      </c>
      <c r="BY154" s="41" t="e">
        <v>#N/A</v>
      </c>
      <c r="BZ154" s="41" t="e">
        <v>#N/A</v>
      </c>
      <c r="CA154" s="41" t="e">
        <v>#N/A</v>
      </c>
      <c r="CB154" s="41" t="e">
        <v>#N/A</v>
      </c>
      <c r="CC154" s="41" t="e">
        <v>#N/A</v>
      </c>
      <c r="CD154" s="41" t="e">
        <v>#N/A</v>
      </c>
      <c r="CE154" s="41" t="e">
        <v>#N/A</v>
      </c>
      <c r="CF154" s="41" t="e">
        <v>#N/A</v>
      </c>
      <c r="CG154" s="41" t="e">
        <v>#N/A</v>
      </c>
      <c r="CH154" s="41" t="e">
        <v>#N/A</v>
      </c>
      <c r="CI154" s="41" t="e">
        <v>#N/A</v>
      </c>
      <c r="CJ154" s="41" t="e">
        <v>#N/A</v>
      </c>
      <c r="CK154" s="41" t="e">
        <v>#N/A</v>
      </c>
      <c r="CL154" s="41" t="e">
        <v>#N/A</v>
      </c>
      <c r="CM154" s="41" t="e">
        <v>#N/A</v>
      </c>
      <c r="CN154" s="41" t="e">
        <v>#N/A</v>
      </c>
      <c r="CO154" s="58" t="e">
        <v>#N/A</v>
      </c>
      <c r="CP154" s="41" t="e">
        <v>#N/A</v>
      </c>
      <c r="CQ154" s="41" t="e">
        <v>#N/A</v>
      </c>
      <c r="CR154" s="41" t="e">
        <v>#N/A</v>
      </c>
      <c r="CS154" s="41" t="e">
        <v>#N/A</v>
      </c>
      <c r="CT154" s="41" t="e">
        <v>#N/A</v>
      </c>
      <c r="CU154" s="41" t="e">
        <v>#N/A</v>
      </c>
      <c r="CV154" s="41" t="e">
        <v>#N/A</v>
      </c>
      <c r="CW154" s="41" t="e">
        <v>#N/A</v>
      </c>
      <c r="CX154" s="41" t="e">
        <v>#N/A</v>
      </c>
      <c r="CY154" s="41" t="e">
        <v>#N/A</v>
      </c>
      <c r="CZ154" s="41" t="e">
        <v>#N/A</v>
      </c>
      <c r="DA154" s="41" t="e">
        <v>#N/A</v>
      </c>
      <c r="DB154" s="41" t="e">
        <v>#N/A</v>
      </c>
      <c r="DC154" s="41" t="e">
        <v>#N/A</v>
      </c>
      <c r="DD154" s="41" t="e">
        <v>#N/A</v>
      </c>
      <c r="DE154" s="41" t="e">
        <v>#N/A</v>
      </c>
      <c r="DF154" s="133" t="e">
        <v>#N/A</v>
      </c>
      <c r="DG154" s="41" t="e">
        <v>#N/A</v>
      </c>
      <c r="DH154" s="41" t="e">
        <v>#N/A</v>
      </c>
      <c r="DI154" s="41" t="e">
        <v>#N/A</v>
      </c>
      <c r="DJ154" s="41" t="e">
        <v>#N/A</v>
      </c>
      <c r="DK154" s="41" t="e">
        <v>#N/A</v>
      </c>
      <c r="DL154" s="41" t="e">
        <v>#N/A</v>
      </c>
      <c r="DM154" s="39" t="e">
        <f t="shared" si="4"/>
        <v>#N/A</v>
      </c>
      <c r="DN154" s="41" t="e">
        <v>#N/A</v>
      </c>
    </row>
    <row r="155" spans="1:118" ht="15.75" customHeight="1" x14ac:dyDescent="0.25">
      <c r="A155" s="37">
        <v>150</v>
      </c>
      <c r="C155" s="140">
        <v>4170</v>
      </c>
      <c r="D155" s="133" t="e">
        <v>#N/A</v>
      </c>
      <c r="E155" s="41" t="e">
        <v>#N/A</v>
      </c>
      <c r="F155" s="133" t="e">
        <v>#N/A</v>
      </c>
      <c r="G155" s="133" t="e">
        <v>#N/A</v>
      </c>
      <c r="H155" s="133" t="e">
        <v>#N/A</v>
      </c>
      <c r="I155" s="41" t="e">
        <v>#N/A</v>
      </c>
      <c r="J155" s="133" t="e">
        <v>#N/A</v>
      </c>
      <c r="K155" s="133" t="e">
        <v>#N/A</v>
      </c>
      <c r="L155" s="133" t="e">
        <v>#N/A</v>
      </c>
      <c r="M155" s="133" t="e">
        <v>#N/A</v>
      </c>
      <c r="N155" s="133" t="e">
        <v>#N/A</v>
      </c>
      <c r="O155" s="133" t="e">
        <v>#N/A</v>
      </c>
      <c r="P155" s="133" t="e">
        <v>#N/A</v>
      </c>
      <c r="Q155" s="133" t="e">
        <v>#N/A</v>
      </c>
      <c r="R155" s="41" t="e">
        <v>#N/A</v>
      </c>
      <c r="S155" s="41" t="e">
        <v>#N/A</v>
      </c>
      <c r="T155" s="41" t="e">
        <v>#N/A</v>
      </c>
      <c r="U155" s="41" t="e">
        <v>#N/A</v>
      </c>
      <c r="V155" s="41" t="e">
        <v>#N/A</v>
      </c>
      <c r="W155" s="41" t="e">
        <v>#N/A</v>
      </c>
      <c r="X155" s="41" t="e">
        <v>#N/A</v>
      </c>
      <c r="Y155" s="41" t="e">
        <v>#N/A</v>
      </c>
      <c r="Z155" s="41" t="e">
        <v>#N/A</v>
      </c>
      <c r="AA155" s="41" t="e">
        <v>#N/A</v>
      </c>
      <c r="AB155" s="133" t="e">
        <v>#N/A</v>
      </c>
      <c r="AC155" s="133" t="e">
        <v>#N/A</v>
      </c>
      <c r="AD155" s="133" t="e">
        <v>#N/A</v>
      </c>
      <c r="AE155" s="133" t="e">
        <v>#N/A</v>
      </c>
      <c r="AF155" s="133" t="e">
        <v>#N/A</v>
      </c>
      <c r="AG155" s="133" t="e">
        <v>#N/A</v>
      </c>
      <c r="AH155" s="41" t="e">
        <v>#N/A</v>
      </c>
      <c r="AI155" s="41" t="e">
        <v>#N/A</v>
      </c>
      <c r="AJ155" s="41" t="e">
        <v>#N/A</v>
      </c>
      <c r="AK155" s="41" t="e">
        <v>#N/A</v>
      </c>
      <c r="AL155" s="41" t="e">
        <v>#N/A</v>
      </c>
      <c r="AM155" s="41" t="e">
        <v>#N/A</v>
      </c>
      <c r="AN155" s="41" t="e">
        <v>#N/A</v>
      </c>
      <c r="AO155" s="41" t="e">
        <v>#N/A</v>
      </c>
      <c r="AP155" s="41" t="e">
        <v>#N/A</v>
      </c>
      <c r="AQ155" s="41" t="e">
        <v>#N/A</v>
      </c>
      <c r="AR155" s="41" t="e">
        <v>#N/A</v>
      </c>
      <c r="AS155" s="41" t="e">
        <v>#N/A</v>
      </c>
      <c r="AT155" s="41" t="e">
        <v>#N/A</v>
      </c>
      <c r="AU155" s="41" t="e">
        <v>#N/A</v>
      </c>
      <c r="AV155" s="41" t="e">
        <v>#N/A</v>
      </c>
      <c r="AW155" s="41" t="e">
        <v>#N/A</v>
      </c>
      <c r="AX155" s="41" t="e">
        <v>#N/A</v>
      </c>
      <c r="AY155" s="41" t="e">
        <v>#N/A</v>
      </c>
      <c r="AZ155" s="41" t="e">
        <v>#N/A</v>
      </c>
      <c r="BA155" s="41" t="e">
        <v>#N/A</v>
      </c>
      <c r="BB155" s="41" t="e">
        <v>#N/A</v>
      </c>
      <c r="BC155" s="41" t="e">
        <v>#N/A</v>
      </c>
      <c r="BD155" s="41" t="e">
        <v>#N/A</v>
      </c>
      <c r="BE155" s="41" t="e">
        <v>#N/A</v>
      </c>
      <c r="BF155" s="41" t="e">
        <v>#N/A</v>
      </c>
      <c r="BG155" s="41" t="e">
        <v>#N/A</v>
      </c>
      <c r="BH155" s="41" t="e">
        <v>#N/A</v>
      </c>
      <c r="BI155" s="41" t="e">
        <v>#N/A</v>
      </c>
      <c r="BJ155" s="41" t="e">
        <v>#N/A</v>
      </c>
      <c r="BK155" s="41" t="e">
        <v>#N/A</v>
      </c>
      <c r="BL155" s="41" t="e">
        <v>#N/A</v>
      </c>
      <c r="BM155" s="41" t="e">
        <v>#N/A</v>
      </c>
      <c r="BN155" s="41" t="e">
        <v>#N/A</v>
      </c>
      <c r="BO155" s="41" t="e">
        <v>#N/A</v>
      </c>
      <c r="BP155" s="41" t="e">
        <v>#N/A</v>
      </c>
      <c r="BQ155" s="41" t="e">
        <v>#N/A</v>
      </c>
      <c r="BR155" s="41" t="e">
        <v>#N/A</v>
      </c>
      <c r="BS155" s="41" t="e">
        <v>#N/A</v>
      </c>
      <c r="BT155" s="41" t="e">
        <v>#N/A</v>
      </c>
      <c r="BU155" s="41" t="e">
        <v>#N/A</v>
      </c>
      <c r="BV155" s="41" t="e">
        <v>#N/A</v>
      </c>
      <c r="BW155" s="41" t="e">
        <v>#N/A</v>
      </c>
      <c r="BX155" s="41" t="e">
        <v>#N/A</v>
      </c>
      <c r="BY155" s="41" t="e">
        <v>#N/A</v>
      </c>
      <c r="BZ155" s="41" t="e">
        <v>#N/A</v>
      </c>
      <c r="CA155" s="41" t="e">
        <v>#N/A</v>
      </c>
      <c r="CB155" s="41" t="e">
        <v>#N/A</v>
      </c>
      <c r="CC155" s="41" t="e">
        <v>#N/A</v>
      </c>
      <c r="CD155" s="41" t="e">
        <v>#N/A</v>
      </c>
      <c r="CE155" s="41" t="e">
        <v>#N/A</v>
      </c>
      <c r="CF155" s="41" t="e">
        <v>#N/A</v>
      </c>
      <c r="CG155" s="41" t="e">
        <v>#N/A</v>
      </c>
      <c r="CH155" s="41" t="e">
        <v>#N/A</v>
      </c>
      <c r="CI155" s="41" t="e">
        <v>#N/A</v>
      </c>
      <c r="CJ155" s="41" t="e">
        <v>#N/A</v>
      </c>
      <c r="CK155" s="41" t="e">
        <v>#N/A</v>
      </c>
      <c r="CL155" s="41" t="e">
        <v>#N/A</v>
      </c>
      <c r="CM155" s="41" t="e">
        <v>#N/A</v>
      </c>
      <c r="CN155" s="41" t="e">
        <v>#N/A</v>
      </c>
      <c r="CO155" s="58" t="e">
        <v>#N/A</v>
      </c>
      <c r="CP155" s="41" t="e">
        <v>#N/A</v>
      </c>
      <c r="CQ155" s="41" t="e">
        <v>#N/A</v>
      </c>
      <c r="CR155" s="41" t="e">
        <v>#N/A</v>
      </c>
      <c r="CS155" s="41" t="e">
        <v>#N/A</v>
      </c>
      <c r="CT155" s="41" t="e">
        <v>#N/A</v>
      </c>
      <c r="CU155" s="41" t="e">
        <v>#N/A</v>
      </c>
      <c r="CV155" s="41" t="e">
        <v>#N/A</v>
      </c>
      <c r="CW155" s="41" t="e">
        <v>#N/A</v>
      </c>
      <c r="CX155" s="41" t="e">
        <v>#N/A</v>
      </c>
      <c r="CY155" s="41" t="e">
        <v>#N/A</v>
      </c>
      <c r="CZ155" s="41" t="e">
        <v>#N/A</v>
      </c>
      <c r="DA155" s="41" t="e">
        <v>#N/A</v>
      </c>
      <c r="DB155" s="41" t="e">
        <v>#N/A</v>
      </c>
      <c r="DC155" s="41" t="e">
        <v>#N/A</v>
      </c>
      <c r="DD155" s="41" t="e">
        <v>#N/A</v>
      </c>
      <c r="DE155" s="41" t="e">
        <v>#N/A</v>
      </c>
      <c r="DF155" s="133" t="e">
        <v>#N/A</v>
      </c>
      <c r="DG155" s="41" t="e">
        <v>#N/A</v>
      </c>
      <c r="DH155" s="41" t="e">
        <v>#N/A</v>
      </c>
      <c r="DI155" s="41" t="e">
        <v>#N/A</v>
      </c>
      <c r="DJ155" s="41" t="e">
        <v>#N/A</v>
      </c>
      <c r="DK155" s="41" t="e">
        <v>#N/A</v>
      </c>
      <c r="DL155" s="41" t="e">
        <v>#N/A</v>
      </c>
      <c r="DM155" s="39" t="e">
        <f t="shared" si="4"/>
        <v>#N/A</v>
      </c>
      <c r="DN155" s="41" t="e">
        <v>#N/A</v>
      </c>
    </row>
    <row r="156" spans="1:118" ht="15.75" customHeight="1" x14ac:dyDescent="0.25">
      <c r="A156" s="37">
        <v>151</v>
      </c>
      <c r="C156" s="140">
        <v>2639</v>
      </c>
      <c r="D156" s="133" t="e">
        <v>#N/A</v>
      </c>
      <c r="E156" s="41" t="e">
        <v>#N/A</v>
      </c>
      <c r="F156" s="133" t="e">
        <v>#N/A</v>
      </c>
      <c r="G156" s="133" t="e">
        <v>#N/A</v>
      </c>
      <c r="H156" s="133" t="e">
        <v>#N/A</v>
      </c>
      <c r="I156" s="41" t="e">
        <v>#N/A</v>
      </c>
      <c r="J156" s="133" t="e">
        <v>#N/A</v>
      </c>
      <c r="K156" s="133" t="e">
        <v>#N/A</v>
      </c>
      <c r="L156" s="133" t="e">
        <v>#N/A</v>
      </c>
      <c r="M156" s="133" t="e">
        <v>#N/A</v>
      </c>
      <c r="N156" s="133" t="e">
        <v>#N/A</v>
      </c>
      <c r="O156" s="133" t="e">
        <v>#N/A</v>
      </c>
      <c r="P156" s="133" t="e">
        <v>#N/A</v>
      </c>
      <c r="Q156" s="133" t="e">
        <v>#N/A</v>
      </c>
      <c r="R156" s="41" t="e">
        <v>#N/A</v>
      </c>
      <c r="S156" s="41" t="e">
        <v>#N/A</v>
      </c>
      <c r="T156" s="41" t="e">
        <v>#N/A</v>
      </c>
      <c r="U156" s="41" t="e">
        <v>#N/A</v>
      </c>
      <c r="V156" s="41" t="e">
        <v>#N/A</v>
      </c>
      <c r="W156" s="41" t="e">
        <v>#N/A</v>
      </c>
      <c r="X156" s="41" t="e">
        <v>#N/A</v>
      </c>
      <c r="Y156" s="41" t="e">
        <v>#N/A</v>
      </c>
      <c r="Z156" s="41" t="e">
        <v>#N/A</v>
      </c>
      <c r="AA156" s="41" t="e">
        <v>#N/A</v>
      </c>
      <c r="AB156" s="133" t="e">
        <v>#N/A</v>
      </c>
      <c r="AC156" s="133" t="e">
        <v>#N/A</v>
      </c>
      <c r="AD156" s="133" t="e">
        <v>#N/A</v>
      </c>
      <c r="AE156" s="133" t="e">
        <v>#N/A</v>
      </c>
      <c r="AF156" s="133" t="e">
        <v>#N/A</v>
      </c>
      <c r="AG156" s="133" t="e">
        <v>#N/A</v>
      </c>
      <c r="AH156" s="41" t="e">
        <v>#N/A</v>
      </c>
      <c r="AI156" s="41" t="e">
        <v>#N/A</v>
      </c>
      <c r="AJ156" s="41" t="e">
        <v>#N/A</v>
      </c>
      <c r="AK156" s="41" t="e">
        <v>#N/A</v>
      </c>
      <c r="AL156" s="41" t="e">
        <v>#N/A</v>
      </c>
      <c r="AM156" s="41" t="e">
        <v>#N/A</v>
      </c>
      <c r="AN156" s="41" t="e">
        <v>#N/A</v>
      </c>
      <c r="AO156" s="41" t="e">
        <v>#N/A</v>
      </c>
      <c r="AP156" s="41" t="e">
        <v>#N/A</v>
      </c>
      <c r="AQ156" s="41" t="e">
        <v>#N/A</v>
      </c>
      <c r="AR156" s="41" t="e">
        <v>#N/A</v>
      </c>
      <c r="AS156" s="41" t="e">
        <v>#N/A</v>
      </c>
      <c r="AT156" s="41" t="e">
        <v>#N/A</v>
      </c>
      <c r="AU156" s="41" t="e">
        <v>#N/A</v>
      </c>
      <c r="AV156" s="41" t="e">
        <v>#N/A</v>
      </c>
      <c r="AW156" s="41" t="e">
        <v>#N/A</v>
      </c>
      <c r="AX156" s="41" t="e">
        <v>#N/A</v>
      </c>
      <c r="AY156" s="41" t="e">
        <v>#N/A</v>
      </c>
      <c r="AZ156" s="41" t="e">
        <v>#N/A</v>
      </c>
      <c r="BA156" s="41" t="e">
        <v>#N/A</v>
      </c>
      <c r="BB156" s="41" t="e">
        <v>#N/A</v>
      </c>
      <c r="BC156" s="41" t="e">
        <v>#N/A</v>
      </c>
      <c r="BD156" s="41" t="e">
        <v>#N/A</v>
      </c>
      <c r="BE156" s="41" t="e">
        <v>#N/A</v>
      </c>
      <c r="BF156" s="41" t="e">
        <v>#N/A</v>
      </c>
      <c r="BG156" s="41" t="e">
        <v>#N/A</v>
      </c>
      <c r="BH156" s="41" t="e">
        <v>#N/A</v>
      </c>
      <c r="BI156" s="41" t="e">
        <v>#N/A</v>
      </c>
      <c r="BJ156" s="41" t="e">
        <v>#N/A</v>
      </c>
      <c r="BK156" s="41" t="e">
        <v>#N/A</v>
      </c>
      <c r="BL156" s="41" t="e">
        <v>#N/A</v>
      </c>
      <c r="BM156" s="41" t="e">
        <v>#N/A</v>
      </c>
      <c r="BN156" s="41" t="e">
        <v>#N/A</v>
      </c>
      <c r="BO156" s="41" t="e">
        <v>#N/A</v>
      </c>
      <c r="BP156" s="41" t="e">
        <v>#N/A</v>
      </c>
      <c r="BQ156" s="41" t="e">
        <v>#N/A</v>
      </c>
      <c r="BR156" s="41" t="e">
        <v>#N/A</v>
      </c>
      <c r="BS156" s="41" t="e">
        <v>#N/A</v>
      </c>
      <c r="BT156" s="41" t="e">
        <v>#N/A</v>
      </c>
      <c r="BU156" s="41" t="e">
        <v>#N/A</v>
      </c>
      <c r="BV156" s="41" t="e">
        <v>#N/A</v>
      </c>
      <c r="BW156" s="41" t="e">
        <v>#N/A</v>
      </c>
      <c r="BX156" s="41" t="e">
        <v>#N/A</v>
      </c>
      <c r="BY156" s="41" t="e">
        <v>#N/A</v>
      </c>
      <c r="BZ156" s="41" t="e">
        <v>#N/A</v>
      </c>
      <c r="CA156" s="41" t="e">
        <v>#N/A</v>
      </c>
      <c r="CB156" s="41" t="e">
        <v>#N/A</v>
      </c>
      <c r="CC156" s="41" t="e">
        <v>#N/A</v>
      </c>
      <c r="CD156" s="41" t="e">
        <v>#N/A</v>
      </c>
      <c r="CE156" s="41" t="e">
        <v>#N/A</v>
      </c>
      <c r="CF156" s="41" t="e">
        <v>#N/A</v>
      </c>
      <c r="CG156" s="41" t="e">
        <v>#N/A</v>
      </c>
      <c r="CH156" s="41" t="e">
        <v>#N/A</v>
      </c>
      <c r="CI156" s="41" t="e">
        <v>#N/A</v>
      </c>
      <c r="CJ156" s="41" t="e">
        <v>#N/A</v>
      </c>
      <c r="CK156" s="41" t="e">
        <v>#N/A</v>
      </c>
      <c r="CL156" s="41" t="e">
        <v>#N/A</v>
      </c>
      <c r="CM156" s="41" t="e">
        <v>#N/A</v>
      </c>
      <c r="CN156" s="41" t="e">
        <v>#N/A</v>
      </c>
      <c r="CO156" s="58" t="e">
        <v>#N/A</v>
      </c>
      <c r="CP156" s="41" t="e">
        <v>#N/A</v>
      </c>
      <c r="CQ156" s="41" t="e">
        <v>#N/A</v>
      </c>
      <c r="CR156" s="41" t="e">
        <v>#N/A</v>
      </c>
      <c r="CS156" s="41" t="e">
        <v>#N/A</v>
      </c>
      <c r="CT156" s="41" t="e">
        <v>#N/A</v>
      </c>
      <c r="CU156" s="41" t="e">
        <v>#N/A</v>
      </c>
      <c r="CV156" s="41" t="e">
        <v>#N/A</v>
      </c>
      <c r="CW156" s="41" t="e">
        <v>#N/A</v>
      </c>
      <c r="CX156" s="41" t="e">
        <v>#N/A</v>
      </c>
      <c r="CY156" s="41" t="e">
        <v>#N/A</v>
      </c>
      <c r="CZ156" s="41" t="e">
        <v>#N/A</v>
      </c>
      <c r="DA156" s="41" t="e">
        <v>#N/A</v>
      </c>
      <c r="DB156" s="41" t="e">
        <v>#N/A</v>
      </c>
      <c r="DC156" s="41" t="e">
        <v>#N/A</v>
      </c>
      <c r="DD156" s="41" t="e">
        <v>#N/A</v>
      </c>
      <c r="DE156" s="41" t="e">
        <v>#N/A</v>
      </c>
      <c r="DF156" s="133" t="e">
        <v>#N/A</v>
      </c>
      <c r="DG156" s="41" t="e">
        <v>#N/A</v>
      </c>
      <c r="DH156" s="41" t="e">
        <v>#N/A</v>
      </c>
      <c r="DI156" s="41" t="e">
        <v>#N/A</v>
      </c>
      <c r="DJ156" s="41" t="e">
        <v>#N/A</v>
      </c>
      <c r="DK156" s="41" t="e">
        <v>#N/A</v>
      </c>
      <c r="DL156" s="41" t="e">
        <v>#N/A</v>
      </c>
      <c r="DM156" s="39" t="e">
        <f t="shared" si="4"/>
        <v>#N/A</v>
      </c>
      <c r="DN156" s="41" t="e">
        <v>#N/A</v>
      </c>
    </row>
    <row r="157" spans="1:118" ht="15.75" customHeight="1" x14ac:dyDescent="0.25">
      <c r="A157" s="37">
        <v>152</v>
      </c>
      <c r="C157" s="140">
        <v>9820</v>
      </c>
      <c r="D157" s="133" t="e">
        <v>#N/A</v>
      </c>
      <c r="E157" s="41" t="e">
        <v>#N/A</v>
      </c>
      <c r="F157" s="133" t="e">
        <v>#N/A</v>
      </c>
      <c r="G157" s="133" t="e">
        <v>#N/A</v>
      </c>
      <c r="H157" s="133" t="e">
        <v>#N/A</v>
      </c>
      <c r="I157" s="41" t="e">
        <v>#N/A</v>
      </c>
      <c r="J157" s="133" t="e">
        <v>#N/A</v>
      </c>
      <c r="K157" s="133" t="e">
        <v>#N/A</v>
      </c>
      <c r="L157" s="133" t="e">
        <v>#N/A</v>
      </c>
      <c r="M157" s="133" t="e">
        <v>#N/A</v>
      </c>
      <c r="N157" s="133" t="e">
        <v>#N/A</v>
      </c>
      <c r="O157" s="133" t="e">
        <v>#N/A</v>
      </c>
      <c r="P157" s="133" t="e">
        <v>#N/A</v>
      </c>
      <c r="Q157" s="133" t="e">
        <v>#N/A</v>
      </c>
      <c r="R157" s="41" t="e">
        <v>#N/A</v>
      </c>
      <c r="S157" s="41" t="e">
        <v>#N/A</v>
      </c>
      <c r="T157" s="41" t="e">
        <v>#N/A</v>
      </c>
      <c r="U157" s="41" t="e">
        <v>#N/A</v>
      </c>
      <c r="V157" s="41" t="e">
        <v>#N/A</v>
      </c>
      <c r="W157" s="41" t="e">
        <v>#N/A</v>
      </c>
      <c r="X157" s="41" t="e">
        <v>#N/A</v>
      </c>
      <c r="Y157" s="41" t="e">
        <v>#N/A</v>
      </c>
      <c r="Z157" s="41" t="e">
        <v>#N/A</v>
      </c>
      <c r="AA157" s="41" t="e">
        <v>#N/A</v>
      </c>
      <c r="AB157" s="133" t="e">
        <v>#N/A</v>
      </c>
      <c r="AC157" s="133" t="e">
        <v>#N/A</v>
      </c>
      <c r="AD157" s="133" t="e">
        <v>#N/A</v>
      </c>
      <c r="AE157" s="133" t="e">
        <v>#N/A</v>
      </c>
      <c r="AF157" s="133" t="e">
        <v>#N/A</v>
      </c>
      <c r="AG157" s="133" t="e">
        <v>#N/A</v>
      </c>
      <c r="AH157" s="41" t="e">
        <v>#N/A</v>
      </c>
      <c r="AI157" s="41" t="e">
        <v>#N/A</v>
      </c>
      <c r="AJ157" s="41" t="e">
        <v>#N/A</v>
      </c>
      <c r="AK157" s="41" t="e">
        <v>#N/A</v>
      </c>
      <c r="AL157" s="41" t="e">
        <v>#N/A</v>
      </c>
      <c r="AM157" s="41" t="e">
        <v>#N/A</v>
      </c>
      <c r="AN157" s="41" t="e">
        <v>#N/A</v>
      </c>
      <c r="AO157" s="41" t="e">
        <v>#N/A</v>
      </c>
      <c r="AP157" s="41" t="e">
        <v>#N/A</v>
      </c>
      <c r="AQ157" s="41" t="e">
        <v>#N/A</v>
      </c>
      <c r="AR157" s="41" t="e">
        <v>#N/A</v>
      </c>
      <c r="AS157" s="41" t="e">
        <v>#N/A</v>
      </c>
      <c r="AT157" s="41" t="e">
        <v>#N/A</v>
      </c>
      <c r="AU157" s="41" t="e">
        <v>#N/A</v>
      </c>
      <c r="AV157" s="41" t="e">
        <v>#N/A</v>
      </c>
      <c r="AW157" s="41" t="e">
        <v>#N/A</v>
      </c>
      <c r="AX157" s="41" t="e">
        <v>#N/A</v>
      </c>
      <c r="AY157" s="41" t="e">
        <v>#N/A</v>
      </c>
      <c r="AZ157" s="41" t="e">
        <v>#N/A</v>
      </c>
      <c r="BA157" s="41" t="e">
        <v>#N/A</v>
      </c>
      <c r="BB157" s="41" t="e">
        <v>#N/A</v>
      </c>
      <c r="BC157" s="41" t="e">
        <v>#N/A</v>
      </c>
      <c r="BD157" s="41" t="e">
        <v>#N/A</v>
      </c>
      <c r="BE157" s="41" t="e">
        <v>#N/A</v>
      </c>
      <c r="BF157" s="41" t="e">
        <v>#N/A</v>
      </c>
      <c r="BG157" s="41" t="e">
        <v>#N/A</v>
      </c>
      <c r="BH157" s="41" t="e">
        <v>#N/A</v>
      </c>
      <c r="BI157" s="41" t="e">
        <v>#N/A</v>
      </c>
      <c r="BJ157" s="41" t="e">
        <v>#N/A</v>
      </c>
      <c r="BK157" s="41" t="e">
        <v>#N/A</v>
      </c>
      <c r="BL157" s="41" t="e">
        <v>#N/A</v>
      </c>
      <c r="BM157" s="41" t="e">
        <v>#N/A</v>
      </c>
      <c r="BN157" s="41" t="e">
        <v>#N/A</v>
      </c>
      <c r="BO157" s="41" t="e">
        <v>#N/A</v>
      </c>
      <c r="BP157" s="41" t="e">
        <v>#N/A</v>
      </c>
      <c r="BQ157" s="41" t="e">
        <v>#N/A</v>
      </c>
      <c r="BR157" s="41" t="e">
        <v>#N/A</v>
      </c>
      <c r="BS157" s="41" t="e">
        <v>#N/A</v>
      </c>
      <c r="BT157" s="41" t="e">
        <v>#N/A</v>
      </c>
      <c r="BU157" s="41" t="e">
        <v>#N/A</v>
      </c>
      <c r="BV157" s="41" t="e">
        <v>#N/A</v>
      </c>
      <c r="BW157" s="41" t="e">
        <v>#N/A</v>
      </c>
      <c r="BX157" s="41" t="e">
        <v>#N/A</v>
      </c>
      <c r="BY157" s="41" t="e">
        <v>#N/A</v>
      </c>
      <c r="BZ157" s="41" t="e">
        <v>#N/A</v>
      </c>
      <c r="CA157" s="41" t="e">
        <v>#N/A</v>
      </c>
      <c r="CB157" s="41" t="e">
        <v>#N/A</v>
      </c>
      <c r="CC157" s="41" t="e">
        <v>#N/A</v>
      </c>
      <c r="CD157" s="41" t="e">
        <v>#N/A</v>
      </c>
      <c r="CE157" s="41" t="e">
        <v>#N/A</v>
      </c>
      <c r="CF157" s="41" t="e">
        <v>#N/A</v>
      </c>
      <c r="CG157" s="41" t="e">
        <v>#N/A</v>
      </c>
      <c r="CH157" s="41" t="e">
        <v>#N/A</v>
      </c>
      <c r="CI157" s="41" t="e">
        <v>#N/A</v>
      </c>
      <c r="CJ157" s="41" t="e">
        <v>#N/A</v>
      </c>
      <c r="CK157" s="41" t="e">
        <v>#N/A</v>
      </c>
      <c r="CL157" s="41" t="e">
        <v>#N/A</v>
      </c>
      <c r="CM157" s="41" t="e">
        <v>#N/A</v>
      </c>
      <c r="CN157" s="41" t="e">
        <v>#N/A</v>
      </c>
      <c r="CO157" s="58" t="e">
        <v>#N/A</v>
      </c>
      <c r="CP157" s="41" t="e">
        <v>#N/A</v>
      </c>
      <c r="CQ157" s="41" t="e">
        <v>#N/A</v>
      </c>
      <c r="CR157" s="41" t="e">
        <v>#N/A</v>
      </c>
      <c r="CS157" s="41" t="e">
        <v>#N/A</v>
      </c>
      <c r="CT157" s="41" t="e">
        <v>#N/A</v>
      </c>
      <c r="CU157" s="41" t="e">
        <v>#N/A</v>
      </c>
      <c r="CV157" s="41" t="e">
        <v>#N/A</v>
      </c>
      <c r="CW157" s="41" t="e">
        <v>#N/A</v>
      </c>
      <c r="CX157" s="41" t="e">
        <v>#N/A</v>
      </c>
      <c r="CY157" s="41" t="e">
        <v>#N/A</v>
      </c>
      <c r="CZ157" s="41" t="e">
        <v>#N/A</v>
      </c>
      <c r="DA157" s="41" t="e">
        <v>#N/A</v>
      </c>
      <c r="DB157" s="41" t="e">
        <v>#N/A</v>
      </c>
      <c r="DC157" s="41" t="e">
        <v>#N/A</v>
      </c>
      <c r="DD157" s="41" t="e">
        <v>#N/A</v>
      </c>
      <c r="DE157" s="41" t="e">
        <v>#N/A</v>
      </c>
      <c r="DF157" s="133" t="e">
        <v>#N/A</v>
      </c>
      <c r="DG157" s="41" t="e">
        <v>#N/A</v>
      </c>
      <c r="DH157" s="41" t="e">
        <v>#N/A</v>
      </c>
      <c r="DI157" s="41" t="e">
        <v>#N/A</v>
      </c>
      <c r="DJ157" s="41" t="e">
        <v>#N/A</v>
      </c>
      <c r="DK157" s="41" t="e">
        <v>#N/A</v>
      </c>
      <c r="DL157" s="41" t="e">
        <v>#N/A</v>
      </c>
      <c r="DM157" s="39" t="e">
        <f t="shared" si="4"/>
        <v>#N/A</v>
      </c>
      <c r="DN157" s="41" t="e">
        <v>#N/A</v>
      </c>
    </row>
    <row r="158" spans="1:118" ht="15.75" customHeight="1" x14ac:dyDescent="0.25">
      <c r="A158" s="37">
        <v>153</v>
      </c>
      <c r="C158" s="140">
        <v>9617</v>
      </c>
      <c r="D158" s="133" t="e">
        <v>#N/A</v>
      </c>
      <c r="E158" s="41" t="e">
        <v>#N/A</v>
      </c>
      <c r="F158" s="133" t="e">
        <v>#N/A</v>
      </c>
      <c r="G158" s="133" t="e">
        <v>#N/A</v>
      </c>
      <c r="H158" s="133" t="e">
        <v>#N/A</v>
      </c>
      <c r="I158" s="41" t="e">
        <v>#N/A</v>
      </c>
      <c r="J158" s="133" t="e">
        <v>#N/A</v>
      </c>
      <c r="K158" s="133" t="e">
        <v>#N/A</v>
      </c>
      <c r="L158" s="133" t="e">
        <v>#N/A</v>
      </c>
      <c r="M158" s="133" t="e">
        <v>#N/A</v>
      </c>
      <c r="N158" s="133" t="e">
        <v>#N/A</v>
      </c>
      <c r="O158" s="133" t="e">
        <v>#N/A</v>
      </c>
      <c r="P158" s="133" t="e">
        <v>#N/A</v>
      </c>
      <c r="Q158" s="133" t="e">
        <v>#N/A</v>
      </c>
      <c r="R158" s="41" t="e">
        <v>#N/A</v>
      </c>
      <c r="S158" s="41" t="e">
        <v>#N/A</v>
      </c>
      <c r="T158" s="41" t="e">
        <v>#N/A</v>
      </c>
      <c r="U158" s="41" t="e">
        <v>#N/A</v>
      </c>
      <c r="V158" s="41" t="e">
        <v>#N/A</v>
      </c>
      <c r="W158" s="41" t="e">
        <v>#N/A</v>
      </c>
      <c r="X158" s="41" t="e">
        <v>#N/A</v>
      </c>
      <c r="Y158" s="41" t="e">
        <v>#N/A</v>
      </c>
      <c r="Z158" s="41" t="e">
        <v>#N/A</v>
      </c>
      <c r="AA158" s="41" t="e">
        <v>#N/A</v>
      </c>
      <c r="AB158" s="133" t="e">
        <v>#N/A</v>
      </c>
      <c r="AC158" s="133" t="e">
        <v>#N/A</v>
      </c>
      <c r="AD158" s="133" t="e">
        <v>#N/A</v>
      </c>
      <c r="AE158" s="133" t="e">
        <v>#N/A</v>
      </c>
      <c r="AF158" s="133" t="e">
        <v>#N/A</v>
      </c>
      <c r="AG158" s="133" t="e">
        <v>#N/A</v>
      </c>
      <c r="AH158" s="41" t="e">
        <v>#N/A</v>
      </c>
      <c r="AI158" s="41" t="e">
        <v>#N/A</v>
      </c>
      <c r="AJ158" s="41" t="e">
        <v>#N/A</v>
      </c>
      <c r="AK158" s="41" t="e">
        <v>#N/A</v>
      </c>
      <c r="AL158" s="41" t="e">
        <v>#N/A</v>
      </c>
      <c r="AM158" s="41" t="e">
        <v>#N/A</v>
      </c>
      <c r="AN158" s="41" t="e">
        <v>#N/A</v>
      </c>
      <c r="AO158" s="41" t="e">
        <v>#N/A</v>
      </c>
      <c r="AP158" s="41" t="e">
        <v>#N/A</v>
      </c>
      <c r="AQ158" s="41" t="e">
        <v>#N/A</v>
      </c>
      <c r="AR158" s="41" t="e">
        <v>#N/A</v>
      </c>
      <c r="AS158" s="41" t="e">
        <v>#N/A</v>
      </c>
      <c r="AT158" s="41" t="e">
        <v>#N/A</v>
      </c>
      <c r="AU158" s="41" t="e">
        <v>#N/A</v>
      </c>
      <c r="AV158" s="41" t="e">
        <v>#N/A</v>
      </c>
      <c r="AW158" s="41" t="e">
        <v>#N/A</v>
      </c>
      <c r="AX158" s="41" t="e">
        <v>#N/A</v>
      </c>
      <c r="AY158" s="41" t="e">
        <v>#N/A</v>
      </c>
      <c r="AZ158" s="41" t="e">
        <v>#N/A</v>
      </c>
      <c r="BA158" s="41" t="e">
        <v>#N/A</v>
      </c>
      <c r="BB158" s="41" t="e">
        <v>#N/A</v>
      </c>
      <c r="BC158" s="41" t="e">
        <v>#N/A</v>
      </c>
      <c r="BD158" s="41" t="e">
        <v>#N/A</v>
      </c>
      <c r="BE158" s="41" t="e">
        <v>#N/A</v>
      </c>
      <c r="BF158" s="41" t="e">
        <v>#N/A</v>
      </c>
      <c r="BG158" s="41" t="e">
        <v>#N/A</v>
      </c>
      <c r="BH158" s="41" t="e">
        <v>#N/A</v>
      </c>
      <c r="BI158" s="41" t="e">
        <v>#N/A</v>
      </c>
      <c r="BJ158" s="41" t="e">
        <v>#N/A</v>
      </c>
      <c r="BK158" s="41" t="e">
        <v>#N/A</v>
      </c>
      <c r="BL158" s="41" t="e">
        <v>#N/A</v>
      </c>
      <c r="BM158" s="41" t="e">
        <v>#N/A</v>
      </c>
      <c r="BN158" s="41" t="e">
        <v>#N/A</v>
      </c>
      <c r="BO158" s="41" t="e">
        <v>#N/A</v>
      </c>
      <c r="BP158" s="41" t="e">
        <v>#N/A</v>
      </c>
      <c r="BQ158" s="41" t="e">
        <v>#N/A</v>
      </c>
      <c r="BR158" s="41" t="e">
        <v>#N/A</v>
      </c>
      <c r="BS158" s="41" t="e">
        <v>#N/A</v>
      </c>
      <c r="BT158" s="41" t="e">
        <v>#N/A</v>
      </c>
      <c r="BU158" s="41" t="e">
        <v>#N/A</v>
      </c>
      <c r="BV158" s="41" t="e">
        <v>#N/A</v>
      </c>
      <c r="BW158" s="41" t="e">
        <v>#N/A</v>
      </c>
      <c r="BX158" s="41" t="e">
        <v>#N/A</v>
      </c>
      <c r="BY158" s="41" t="e">
        <v>#N/A</v>
      </c>
      <c r="BZ158" s="41" t="e">
        <v>#N/A</v>
      </c>
      <c r="CA158" s="41" t="e">
        <v>#N/A</v>
      </c>
      <c r="CB158" s="41" t="e">
        <v>#N/A</v>
      </c>
      <c r="CC158" s="41" t="e">
        <v>#N/A</v>
      </c>
      <c r="CD158" s="41" t="e">
        <v>#N/A</v>
      </c>
      <c r="CE158" s="41" t="e">
        <v>#N/A</v>
      </c>
      <c r="CF158" s="41" t="e">
        <v>#N/A</v>
      </c>
      <c r="CG158" s="41" t="e">
        <v>#N/A</v>
      </c>
      <c r="CH158" s="41" t="e">
        <v>#N/A</v>
      </c>
      <c r="CI158" s="41" t="e">
        <v>#N/A</v>
      </c>
      <c r="CJ158" s="41" t="e">
        <v>#N/A</v>
      </c>
      <c r="CK158" s="41" t="e">
        <v>#N/A</v>
      </c>
      <c r="CL158" s="41" t="e">
        <v>#N/A</v>
      </c>
      <c r="CM158" s="41" t="e">
        <v>#N/A</v>
      </c>
      <c r="CN158" s="41" t="e">
        <v>#N/A</v>
      </c>
      <c r="CO158" s="58" t="e">
        <v>#N/A</v>
      </c>
      <c r="CP158" s="41" t="e">
        <v>#N/A</v>
      </c>
      <c r="CQ158" s="41" t="e">
        <v>#N/A</v>
      </c>
      <c r="CR158" s="41" t="e">
        <v>#N/A</v>
      </c>
      <c r="CS158" s="41" t="e">
        <v>#N/A</v>
      </c>
      <c r="CT158" s="41" t="e">
        <v>#N/A</v>
      </c>
      <c r="CU158" s="41" t="e">
        <v>#N/A</v>
      </c>
      <c r="CV158" s="41" t="e">
        <v>#N/A</v>
      </c>
      <c r="CW158" s="41" t="e">
        <v>#N/A</v>
      </c>
      <c r="CX158" s="41" t="e">
        <v>#N/A</v>
      </c>
      <c r="CY158" s="41" t="e">
        <v>#N/A</v>
      </c>
      <c r="CZ158" s="41" t="e">
        <v>#N/A</v>
      </c>
      <c r="DA158" s="41" t="e">
        <v>#N/A</v>
      </c>
      <c r="DB158" s="41" t="e">
        <v>#N/A</v>
      </c>
      <c r="DC158" s="41" t="e">
        <v>#N/A</v>
      </c>
      <c r="DD158" s="41" t="e">
        <v>#N/A</v>
      </c>
      <c r="DE158" s="41" t="e">
        <v>#N/A</v>
      </c>
      <c r="DF158" s="133" t="e">
        <v>#N/A</v>
      </c>
      <c r="DG158" s="41" t="e">
        <v>#N/A</v>
      </c>
      <c r="DH158" s="41" t="e">
        <v>#N/A</v>
      </c>
      <c r="DI158" s="41" t="e">
        <v>#N/A</v>
      </c>
      <c r="DJ158" s="41" t="e">
        <v>#N/A</v>
      </c>
      <c r="DK158" s="41" t="e">
        <v>#N/A</v>
      </c>
      <c r="DL158" s="41" t="e">
        <v>#N/A</v>
      </c>
      <c r="DM158" s="39" t="e">
        <f t="shared" si="4"/>
        <v>#N/A</v>
      </c>
      <c r="DN158" s="41" t="e">
        <v>#N/A</v>
      </c>
    </row>
    <row r="160" spans="1:118" ht="31.5" x14ac:dyDescent="0.5">
      <c r="C160" s="59">
        <f>COUNTA(ta)-COUNTIF(ta,#N/A)</f>
        <v>153</v>
      </c>
      <c r="D160" s="48">
        <f t="shared" ref="D160:AI160" si="5">SUBTOTAL(3,tb)</f>
        <v>153</v>
      </c>
      <c r="E160" s="48">
        <f t="shared" si="5"/>
        <v>153</v>
      </c>
      <c r="F160" s="48">
        <f t="shared" si="5"/>
        <v>153</v>
      </c>
      <c r="G160" s="48">
        <f t="shared" si="5"/>
        <v>153</v>
      </c>
      <c r="H160" s="48">
        <f t="shared" si="5"/>
        <v>153</v>
      </c>
      <c r="I160" s="48">
        <f t="shared" si="5"/>
        <v>153</v>
      </c>
      <c r="J160" s="48">
        <f t="shared" si="5"/>
        <v>153</v>
      </c>
      <c r="K160" s="48">
        <f t="shared" si="5"/>
        <v>153</v>
      </c>
      <c r="L160" s="48">
        <f t="shared" si="5"/>
        <v>153</v>
      </c>
      <c r="M160" s="48">
        <f t="shared" si="5"/>
        <v>153</v>
      </c>
      <c r="N160" s="48">
        <f t="shared" si="5"/>
        <v>153</v>
      </c>
      <c r="O160" s="48">
        <f t="shared" si="5"/>
        <v>153</v>
      </c>
      <c r="P160" s="48">
        <f t="shared" si="5"/>
        <v>153</v>
      </c>
      <c r="Q160" s="48">
        <f t="shared" si="5"/>
        <v>153</v>
      </c>
      <c r="R160" s="48">
        <f t="shared" si="5"/>
        <v>153</v>
      </c>
      <c r="S160" s="48">
        <f t="shared" si="5"/>
        <v>153</v>
      </c>
      <c r="T160" s="48">
        <f t="shared" si="5"/>
        <v>153</v>
      </c>
      <c r="U160" s="48">
        <f t="shared" si="5"/>
        <v>153</v>
      </c>
      <c r="V160" s="48">
        <f t="shared" si="5"/>
        <v>153</v>
      </c>
      <c r="W160" s="48">
        <f t="shared" si="5"/>
        <v>153</v>
      </c>
      <c r="X160" s="48">
        <f t="shared" si="5"/>
        <v>153</v>
      </c>
      <c r="Y160" s="48">
        <f t="shared" si="5"/>
        <v>153</v>
      </c>
      <c r="Z160" s="48">
        <f t="shared" si="5"/>
        <v>153</v>
      </c>
      <c r="AA160" s="48">
        <f t="shared" si="5"/>
        <v>153</v>
      </c>
      <c r="AB160" s="48">
        <f t="shared" si="5"/>
        <v>153</v>
      </c>
      <c r="AC160" s="48">
        <f t="shared" si="5"/>
        <v>153</v>
      </c>
      <c r="AD160" s="48">
        <f t="shared" si="5"/>
        <v>153</v>
      </c>
      <c r="AE160" s="48">
        <f t="shared" si="5"/>
        <v>153</v>
      </c>
      <c r="AF160" s="48">
        <f t="shared" si="5"/>
        <v>153</v>
      </c>
      <c r="AG160" s="48">
        <f t="shared" si="5"/>
        <v>153</v>
      </c>
      <c r="AH160" s="48">
        <f t="shared" si="5"/>
        <v>153</v>
      </c>
      <c r="AI160" s="48">
        <f t="shared" si="5"/>
        <v>153</v>
      </c>
      <c r="AJ160" s="48">
        <f t="shared" ref="AJ160:BO160" si="6">SUBTOTAL(3,tb)</f>
        <v>153</v>
      </c>
      <c r="AK160" s="48">
        <f t="shared" si="6"/>
        <v>153</v>
      </c>
      <c r="AL160" s="48">
        <f t="shared" si="6"/>
        <v>153</v>
      </c>
      <c r="AM160" s="48">
        <f t="shared" si="6"/>
        <v>153</v>
      </c>
      <c r="AN160" s="48">
        <f t="shared" si="6"/>
        <v>153</v>
      </c>
      <c r="AO160" s="48">
        <f t="shared" si="6"/>
        <v>153</v>
      </c>
      <c r="AP160" s="48">
        <f t="shared" si="6"/>
        <v>153</v>
      </c>
      <c r="AQ160" s="48">
        <f t="shared" si="6"/>
        <v>153</v>
      </c>
      <c r="AR160" s="48">
        <f t="shared" si="6"/>
        <v>153</v>
      </c>
      <c r="AS160" s="48">
        <f t="shared" si="6"/>
        <v>153</v>
      </c>
      <c r="AT160" s="48">
        <f t="shared" si="6"/>
        <v>153</v>
      </c>
      <c r="AU160" s="48">
        <f t="shared" si="6"/>
        <v>153</v>
      </c>
      <c r="AV160" s="48">
        <f t="shared" si="6"/>
        <v>153</v>
      </c>
      <c r="AW160" s="48">
        <f t="shared" si="6"/>
        <v>153</v>
      </c>
      <c r="AX160" s="48">
        <f t="shared" si="6"/>
        <v>153</v>
      </c>
      <c r="AY160" s="48">
        <f t="shared" si="6"/>
        <v>153</v>
      </c>
      <c r="AZ160" s="48">
        <f t="shared" si="6"/>
        <v>153</v>
      </c>
      <c r="BA160" s="48">
        <f t="shared" si="6"/>
        <v>153</v>
      </c>
      <c r="BB160" s="48">
        <f t="shared" si="6"/>
        <v>153</v>
      </c>
      <c r="BC160" s="48">
        <f t="shared" si="6"/>
        <v>153</v>
      </c>
      <c r="BD160" s="48">
        <f t="shared" si="6"/>
        <v>153</v>
      </c>
      <c r="BE160" s="48">
        <f t="shared" si="6"/>
        <v>153</v>
      </c>
      <c r="BF160" s="48">
        <f t="shared" si="6"/>
        <v>153</v>
      </c>
      <c r="BG160" s="48">
        <f t="shared" si="6"/>
        <v>153</v>
      </c>
      <c r="BH160" s="48">
        <f t="shared" si="6"/>
        <v>153</v>
      </c>
      <c r="BI160" s="48">
        <f t="shared" si="6"/>
        <v>153</v>
      </c>
      <c r="BJ160" s="48">
        <f t="shared" si="6"/>
        <v>153</v>
      </c>
      <c r="BK160" s="48">
        <f t="shared" si="6"/>
        <v>153</v>
      </c>
      <c r="BL160" s="48">
        <f t="shared" si="6"/>
        <v>153</v>
      </c>
      <c r="BM160" s="48">
        <f t="shared" si="6"/>
        <v>153</v>
      </c>
      <c r="BN160" s="48">
        <f t="shared" si="6"/>
        <v>153</v>
      </c>
      <c r="BO160" s="48">
        <f t="shared" si="6"/>
        <v>153</v>
      </c>
      <c r="BP160" s="48">
        <f t="shared" ref="BP160:CU160" si="7">SUBTOTAL(3,tb)</f>
        <v>153</v>
      </c>
      <c r="BQ160" s="48">
        <f t="shared" si="7"/>
        <v>153</v>
      </c>
      <c r="BR160" s="48">
        <f t="shared" si="7"/>
        <v>153</v>
      </c>
      <c r="BS160" s="48">
        <f t="shared" si="7"/>
        <v>153</v>
      </c>
      <c r="BT160" s="48">
        <f t="shared" si="7"/>
        <v>153</v>
      </c>
      <c r="BU160" s="48">
        <f t="shared" si="7"/>
        <v>153</v>
      </c>
      <c r="BV160" s="48">
        <f t="shared" si="7"/>
        <v>153</v>
      </c>
      <c r="BW160" s="48">
        <f t="shared" si="7"/>
        <v>153</v>
      </c>
      <c r="BX160" s="48">
        <f t="shared" si="7"/>
        <v>153</v>
      </c>
      <c r="BY160" s="48">
        <f t="shared" si="7"/>
        <v>153</v>
      </c>
      <c r="BZ160" s="48">
        <f t="shared" si="7"/>
        <v>153</v>
      </c>
      <c r="CA160" s="48">
        <f t="shared" si="7"/>
        <v>153</v>
      </c>
      <c r="CB160" s="48">
        <f t="shared" si="7"/>
        <v>153</v>
      </c>
      <c r="CC160" s="48">
        <f t="shared" si="7"/>
        <v>153</v>
      </c>
      <c r="CD160" s="48">
        <f t="shared" si="7"/>
        <v>153</v>
      </c>
      <c r="CE160" s="48">
        <f t="shared" si="7"/>
        <v>153</v>
      </c>
      <c r="CF160" s="48">
        <f t="shared" si="7"/>
        <v>153</v>
      </c>
      <c r="CG160" s="48">
        <f t="shared" si="7"/>
        <v>153</v>
      </c>
      <c r="CH160" s="48">
        <f t="shared" si="7"/>
        <v>153</v>
      </c>
      <c r="CI160" s="48">
        <f t="shared" si="7"/>
        <v>153</v>
      </c>
      <c r="CJ160" s="48">
        <f t="shared" si="7"/>
        <v>153</v>
      </c>
      <c r="CK160" s="48">
        <f t="shared" si="7"/>
        <v>153</v>
      </c>
      <c r="CL160" s="48">
        <f t="shared" si="7"/>
        <v>153</v>
      </c>
      <c r="CM160" s="48">
        <f t="shared" si="7"/>
        <v>153</v>
      </c>
      <c r="CN160" s="48">
        <f t="shared" si="7"/>
        <v>153</v>
      </c>
      <c r="CO160" s="135">
        <f t="shared" si="7"/>
        <v>153</v>
      </c>
      <c r="CP160" s="48">
        <f t="shared" si="7"/>
        <v>153</v>
      </c>
      <c r="CQ160" s="48">
        <f t="shared" si="7"/>
        <v>153</v>
      </c>
      <c r="CR160" s="48">
        <f t="shared" si="7"/>
        <v>153</v>
      </c>
      <c r="CS160" s="48">
        <f t="shared" si="7"/>
        <v>153</v>
      </c>
      <c r="CT160" s="48">
        <f t="shared" si="7"/>
        <v>153</v>
      </c>
      <c r="CU160" s="48">
        <f t="shared" si="7"/>
        <v>153</v>
      </c>
      <c r="CV160" s="48">
        <f t="shared" ref="CV160:DL160" si="8">SUBTOTAL(3,tb)</f>
        <v>153</v>
      </c>
      <c r="CW160" s="48">
        <f t="shared" si="8"/>
        <v>153</v>
      </c>
      <c r="CX160" s="48">
        <f t="shared" si="8"/>
        <v>153</v>
      </c>
      <c r="CY160" s="48">
        <f t="shared" si="8"/>
        <v>153</v>
      </c>
      <c r="CZ160" s="48">
        <f t="shared" si="8"/>
        <v>153</v>
      </c>
      <c r="DA160" s="48">
        <f t="shared" si="8"/>
        <v>153</v>
      </c>
      <c r="DB160" s="48">
        <f t="shared" si="8"/>
        <v>153</v>
      </c>
      <c r="DC160" s="48">
        <f t="shared" si="8"/>
        <v>153</v>
      </c>
      <c r="DD160" s="48">
        <f t="shared" si="8"/>
        <v>153</v>
      </c>
      <c r="DE160" s="48">
        <f t="shared" si="8"/>
        <v>153</v>
      </c>
      <c r="DF160" s="48">
        <f t="shared" si="8"/>
        <v>153</v>
      </c>
      <c r="DG160" s="48">
        <f t="shared" si="8"/>
        <v>153</v>
      </c>
      <c r="DH160" s="48">
        <f t="shared" si="8"/>
        <v>153</v>
      </c>
      <c r="DI160" s="48">
        <f t="shared" si="8"/>
        <v>153</v>
      </c>
      <c r="DJ160" s="48">
        <f t="shared" si="8"/>
        <v>153</v>
      </c>
      <c r="DK160" s="48">
        <f t="shared" si="8"/>
        <v>153</v>
      </c>
      <c r="DL160" s="48">
        <f t="shared" si="8"/>
        <v>153</v>
      </c>
    </row>
  </sheetData>
  <autoFilter ref="A5:DL158">
    <sortState ref="A7:DL159">
      <sortCondition ref="A6"/>
    </sortState>
  </autoFilter>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dimension ref="H1:N220"/>
  <sheetViews>
    <sheetView topLeftCell="F1" zoomScale="85" zoomScaleNormal="85" zoomScalePageLayoutView="85" workbookViewId="0">
      <selection activeCell="K19" sqref="K19"/>
    </sheetView>
  </sheetViews>
  <sheetFormatPr baseColWidth="10" defaultColWidth="10.85546875" defaultRowHeight="15.75" x14ac:dyDescent="0.25"/>
  <cols>
    <col min="1" max="8" width="0.7109375" style="37" customWidth="1"/>
    <col min="9" max="9" width="10.85546875" style="37"/>
    <col min="10" max="10" width="63.42578125" style="37" customWidth="1"/>
    <col min="11" max="11" width="37.42578125" style="37" bestFit="1" customWidth="1"/>
    <col min="12" max="12" width="13.28515625" style="37" customWidth="1"/>
    <col min="13" max="13" width="62.140625" style="37" bestFit="1" customWidth="1"/>
    <col min="14" max="14" width="17.85546875" style="37" customWidth="1"/>
    <col min="15" max="16384" width="10.85546875" style="37"/>
  </cols>
  <sheetData>
    <row r="1" spans="8:14" ht="2.25" customHeight="1" x14ac:dyDescent="0.25"/>
    <row r="2" spans="8:14" ht="2.25" customHeight="1" x14ac:dyDescent="0.25"/>
    <row r="3" spans="8:14" ht="2.25" customHeight="1" x14ac:dyDescent="0.25"/>
    <row r="4" spans="8:14" ht="2.25" customHeight="1" x14ac:dyDescent="0.25"/>
    <row r="5" spans="8:14" ht="2.25" customHeight="1" x14ac:dyDescent="0.25"/>
    <row r="6" spans="8:14" ht="2.25" customHeight="1" x14ac:dyDescent="0.25"/>
    <row r="7" spans="8:14" ht="45.75" customHeight="1" x14ac:dyDescent="0.25"/>
    <row r="8" spans="8:14" ht="2.25" customHeight="1" x14ac:dyDescent="0.25"/>
    <row r="9" spans="8:14" ht="23.25" x14ac:dyDescent="0.35">
      <c r="J9" s="117" t="s">
        <v>877</v>
      </c>
      <c r="M9" s="116" t="s">
        <v>876</v>
      </c>
    </row>
    <row r="11" spans="8:14" x14ac:dyDescent="0.25">
      <c r="J11" s="118">
        <v>1</v>
      </c>
      <c r="K11" s="118" t="str">
        <f>INDEX(K14:K87,J11,1)</f>
        <v>*</v>
      </c>
      <c r="M11" s="118">
        <v>1</v>
      </c>
      <c r="N11" s="118" t="str">
        <f>INDEX(N14:N102,filter2,1)</f>
        <v>11111*</v>
      </c>
    </row>
    <row r="13" spans="8:14" x14ac:dyDescent="0.25">
      <c r="J13" s="114" t="s">
        <v>875</v>
      </c>
      <c r="K13" s="115" t="s">
        <v>874</v>
      </c>
      <c r="M13" s="114" t="s">
        <v>875</v>
      </c>
      <c r="N13" s="115" t="s">
        <v>874</v>
      </c>
    </row>
    <row r="14" spans="8:14" x14ac:dyDescent="0.25">
      <c r="H14" s="37">
        <v>1</v>
      </c>
      <c r="J14" s="60" t="s">
        <v>873</v>
      </c>
      <c r="K14" s="61" t="s">
        <v>844</v>
      </c>
      <c r="M14" s="106" t="s">
        <v>1583</v>
      </c>
      <c r="N14" s="107" t="s">
        <v>1619</v>
      </c>
    </row>
    <row r="15" spans="8:14" x14ac:dyDescent="0.25">
      <c r="H15" s="37">
        <v>2</v>
      </c>
      <c r="J15" s="152" t="s">
        <v>1696</v>
      </c>
      <c r="K15" s="74" t="s">
        <v>1157</v>
      </c>
      <c r="M15" s="143">
        <v>9949</v>
      </c>
      <c r="N15" s="42" t="str">
        <f t="shared" ref="N15:N46" si="0">M15&amp;"*"</f>
        <v>9949*</v>
      </c>
    </row>
    <row r="16" spans="8:14" x14ac:dyDescent="0.25">
      <c r="J16" s="76" t="s">
        <v>1155</v>
      </c>
      <c r="K16" s="74" t="s">
        <v>1156</v>
      </c>
      <c r="M16" s="143">
        <v>9945</v>
      </c>
      <c r="N16" s="42" t="str">
        <f t="shared" si="0"/>
        <v>9945*</v>
      </c>
    </row>
    <row r="17" spans="8:14" x14ac:dyDescent="0.25">
      <c r="H17" s="37">
        <v>3</v>
      </c>
      <c r="J17" s="44" t="s">
        <v>117</v>
      </c>
      <c r="K17" s="74" t="s">
        <v>1126</v>
      </c>
      <c r="M17" s="142">
        <v>9934</v>
      </c>
      <c r="N17" s="42" t="str">
        <f t="shared" si="0"/>
        <v>9934*</v>
      </c>
    </row>
    <row r="18" spans="8:14" x14ac:dyDescent="0.25">
      <c r="H18" s="37">
        <v>4</v>
      </c>
      <c r="J18" s="44" t="s">
        <v>118</v>
      </c>
      <c r="K18" s="74" t="s">
        <v>1127</v>
      </c>
      <c r="M18" s="143">
        <v>9820</v>
      </c>
      <c r="N18" s="42" t="str">
        <f t="shared" si="0"/>
        <v>9820*</v>
      </c>
    </row>
    <row r="19" spans="8:14" x14ac:dyDescent="0.25">
      <c r="H19" s="37">
        <v>5</v>
      </c>
      <c r="J19" s="44" t="s">
        <v>119</v>
      </c>
      <c r="K19" s="74" t="s">
        <v>1128</v>
      </c>
      <c r="M19" s="143">
        <v>9763</v>
      </c>
      <c r="N19" s="42" t="str">
        <f t="shared" si="0"/>
        <v>9763*</v>
      </c>
    </row>
    <row r="20" spans="8:14" x14ac:dyDescent="0.25">
      <c r="H20" s="37">
        <v>6</v>
      </c>
      <c r="J20" s="44" t="s">
        <v>120</v>
      </c>
      <c r="K20" s="74" t="s">
        <v>1130</v>
      </c>
      <c r="M20" s="142">
        <v>9762</v>
      </c>
      <c r="N20" s="42" t="str">
        <f t="shared" si="0"/>
        <v>9762*</v>
      </c>
    </row>
    <row r="21" spans="8:14" x14ac:dyDescent="0.25">
      <c r="H21" s="37">
        <v>7</v>
      </c>
      <c r="J21" s="44" t="s">
        <v>121</v>
      </c>
      <c r="K21" s="74" t="s">
        <v>1129</v>
      </c>
      <c r="M21" s="142">
        <v>9689</v>
      </c>
      <c r="N21" s="42" t="str">
        <f t="shared" si="0"/>
        <v>9689*</v>
      </c>
    </row>
    <row r="22" spans="8:14" x14ac:dyDescent="0.25">
      <c r="H22" s="37">
        <v>8</v>
      </c>
      <c r="J22" s="44" t="s">
        <v>122</v>
      </c>
      <c r="K22" s="74" t="s">
        <v>1131</v>
      </c>
      <c r="M22" s="143">
        <v>9617</v>
      </c>
      <c r="N22" s="42" t="str">
        <f t="shared" si="0"/>
        <v>9617*</v>
      </c>
    </row>
    <row r="23" spans="8:14" x14ac:dyDescent="0.25">
      <c r="H23" s="37">
        <v>9</v>
      </c>
      <c r="J23" s="44" t="s">
        <v>123</v>
      </c>
      <c r="K23" s="74" t="s">
        <v>1132</v>
      </c>
      <c r="M23" s="143">
        <v>9579</v>
      </c>
      <c r="N23" s="42" t="str">
        <f t="shared" si="0"/>
        <v>9579*</v>
      </c>
    </row>
    <row r="24" spans="8:14" x14ac:dyDescent="0.25">
      <c r="H24" s="37">
        <v>10</v>
      </c>
      <c r="J24" s="44" t="s">
        <v>124</v>
      </c>
      <c r="K24" s="74" t="s">
        <v>1133</v>
      </c>
      <c r="M24" s="143">
        <v>9575</v>
      </c>
      <c r="N24" s="42" t="str">
        <f t="shared" si="0"/>
        <v>9575*</v>
      </c>
    </row>
    <row r="25" spans="8:14" x14ac:dyDescent="0.25">
      <c r="H25" s="37">
        <v>11</v>
      </c>
      <c r="J25" s="44" t="s">
        <v>125</v>
      </c>
      <c r="K25" s="74" t="s">
        <v>1134</v>
      </c>
      <c r="M25" s="142">
        <v>9565</v>
      </c>
      <c r="N25" s="42" t="str">
        <f t="shared" si="0"/>
        <v>9565*</v>
      </c>
    </row>
    <row r="26" spans="8:14" x14ac:dyDescent="0.25">
      <c r="H26" s="37">
        <v>12</v>
      </c>
      <c r="J26" s="44" t="s">
        <v>126</v>
      </c>
      <c r="K26" s="74" t="s">
        <v>1135</v>
      </c>
      <c r="M26" s="142">
        <v>9553</v>
      </c>
      <c r="N26" s="42" t="str">
        <f t="shared" si="0"/>
        <v>9553*</v>
      </c>
    </row>
    <row r="27" spans="8:14" x14ac:dyDescent="0.25">
      <c r="H27" s="37">
        <v>13</v>
      </c>
      <c r="J27" s="44" t="s">
        <v>889</v>
      </c>
      <c r="K27" s="74" t="s">
        <v>1136</v>
      </c>
      <c r="M27" s="143">
        <v>9436</v>
      </c>
      <c r="N27" s="42" t="str">
        <f t="shared" si="0"/>
        <v>9436*</v>
      </c>
    </row>
    <row r="28" spans="8:14" x14ac:dyDescent="0.25">
      <c r="H28" s="37">
        <v>14</v>
      </c>
      <c r="J28" s="44" t="s">
        <v>890</v>
      </c>
      <c r="K28" s="74" t="s">
        <v>1137</v>
      </c>
      <c r="M28" s="141">
        <v>9383</v>
      </c>
      <c r="N28" s="42" t="str">
        <f t="shared" si="0"/>
        <v>9383*</v>
      </c>
    </row>
    <row r="29" spans="8:14" x14ac:dyDescent="0.25">
      <c r="H29" s="37">
        <v>15</v>
      </c>
      <c r="J29" s="44" t="s">
        <v>891</v>
      </c>
      <c r="K29" s="74" t="s">
        <v>1138</v>
      </c>
      <c r="M29" s="142">
        <v>9365</v>
      </c>
      <c r="N29" s="42" t="str">
        <f t="shared" si="0"/>
        <v>9365*</v>
      </c>
    </row>
    <row r="30" spans="8:14" x14ac:dyDescent="0.25">
      <c r="H30" s="37">
        <v>16</v>
      </c>
      <c r="J30" s="44" t="s">
        <v>892</v>
      </c>
      <c r="K30" s="74" t="s">
        <v>1139</v>
      </c>
      <c r="M30" s="143">
        <v>9269</v>
      </c>
      <c r="N30" s="42" t="str">
        <f t="shared" si="0"/>
        <v>9269*</v>
      </c>
    </row>
    <row r="31" spans="8:14" x14ac:dyDescent="0.25">
      <c r="H31" s="37">
        <v>17</v>
      </c>
      <c r="J31" s="44" t="s">
        <v>893</v>
      </c>
      <c r="K31" s="74" t="s">
        <v>1140</v>
      </c>
      <c r="M31" s="142">
        <v>9186</v>
      </c>
      <c r="N31" s="42" t="str">
        <f t="shared" si="0"/>
        <v>9186*</v>
      </c>
    </row>
    <row r="32" spans="8:14" x14ac:dyDescent="0.25">
      <c r="J32" s="44" t="s">
        <v>894</v>
      </c>
      <c r="K32" s="74" t="s">
        <v>1141</v>
      </c>
      <c r="M32" s="142">
        <v>9158</v>
      </c>
      <c r="N32" s="42" t="str">
        <f t="shared" si="0"/>
        <v>9158*</v>
      </c>
    </row>
    <row r="33" spans="10:14" x14ac:dyDescent="0.25">
      <c r="J33" s="44" t="s">
        <v>895</v>
      </c>
      <c r="K33" s="74" t="s">
        <v>1142</v>
      </c>
      <c r="M33" s="142">
        <v>9056</v>
      </c>
      <c r="N33" s="42" t="str">
        <f t="shared" si="0"/>
        <v>9056*</v>
      </c>
    </row>
    <row r="34" spans="10:14" x14ac:dyDescent="0.25">
      <c r="J34" s="44" t="s">
        <v>896</v>
      </c>
      <c r="K34" s="74" t="s">
        <v>1143</v>
      </c>
      <c r="M34" s="142">
        <v>8860</v>
      </c>
      <c r="N34" s="42" t="str">
        <f t="shared" si="0"/>
        <v>8860*</v>
      </c>
    </row>
    <row r="35" spans="10:14" x14ac:dyDescent="0.25">
      <c r="J35" s="44" t="s">
        <v>897</v>
      </c>
      <c r="K35" s="74" t="s">
        <v>1144</v>
      </c>
      <c r="M35" s="142">
        <v>8823</v>
      </c>
      <c r="N35" s="42" t="str">
        <f t="shared" si="0"/>
        <v>8823*</v>
      </c>
    </row>
    <row r="36" spans="10:14" x14ac:dyDescent="0.25">
      <c r="J36" s="44" t="s">
        <v>898</v>
      </c>
      <c r="K36" s="74" t="s">
        <v>1145</v>
      </c>
      <c r="M36" s="142">
        <v>8805</v>
      </c>
      <c r="N36" s="42" t="str">
        <f t="shared" si="0"/>
        <v>8805*</v>
      </c>
    </row>
    <row r="37" spans="10:14" x14ac:dyDescent="0.25">
      <c r="J37" s="44" t="s">
        <v>899</v>
      </c>
      <c r="K37" s="74" t="s">
        <v>1146</v>
      </c>
      <c r="M37" s="143">
        <v>8799</v>
      </c>
      <c r="N37" s="42" t="str">
        <f t="shared" si="0"/>
        <v>8799*</v>
      </c>
    </row>
    <row r="38" spans="10:14" x14ac:dyDescent="0.25">
      <c r="J38" s="44" t="s">
        <v>900</v>
      </c>
      <c r="K38" s="74" t="s">
        <v>1147</v>
      </c>
      <c r="M38" s="142">
        <v>8755</v>
      </c>
      <c r="N38" s="42" t="str">
        <f t="shared" si="0"/>
        <v>8755*</v>
      </c>
    </row>
    <row r="39" spans="10:14" x14ac:dyDescent="0.25">
      <c r="J39" s="44" t="s">
        <v>901</v>
      </c>
      <c r="K39" s="74" t="s">
        <v>1148</v>
      </c>
      <c r="M39" s="142">
        <v>8733</v>
      </c>
      <c r="N39" s="42" t="str">
        <f t="shared" si="0"/>
        <v>8733*</v>
      </c>
    </row>
    <row r="40" spans="10:14" x14ac:dyDescent="0.25">
      <c r="J40" s="44" t="s">
        <v>902</v>
      </c>
      <c r="K40" s="74" t="s">
        <v>1149</v>
      </c>
      <c r="M40" s="142">
        <v>8727</v>
      </c>
      <c r="N40" s="42" t="str">
        <f t="shared" si="0"/>
        <v>8727*</v>
      </c>
    </row>
    <row r="41" spans="10:14" x14ac:dyDescent="0.25">
      <c r="J41" s="44" t="s">
        <v>903</v>
      </c>
      <c r="K41" s="74" t="s">
        <v>1150</v>
      </c>
      <c r="M41" s="141">
        <v>8702</v>
      </c>
      <c r="N41" s="42" t="str">
        <f t="shared" si="0"/>
        <v>8702*</v>
      </c>
    </row>
    <row r="42" spans="10:14" x14ac:dyDescent="0.25">
      <c r="J42" s="44" t="s">
        <v>904</v>
      </c>
      <c r="K42" s="74" t="s">
        <v>1151</v>
      </c>
      <c r="M42" s="143">
        <v>8618</v>
      </c>
      <c r="N42" s="42" t="str">
        <f t="shared" si="0"/>
        <v>8618*</v>
      </c>
    </row>
    <row r="43" spans="10:14" x14ac:dyDescent="0.25">
      <c r="J43" s="44" t="s">
        <v>905</v>
      </c>
      <c r="K43" s="74" t="s">
        <v>1152</v>
      </c>
      <c r="M43" s="142">
        <v>8575</v>
      </c>
      <c r="N43" s="42" t="str">
        <f t="shared" si="0"/>
        <v>8575*</v>
      </c>
    </row>
    <row r="44" spans="10:14" x14ac:dyDescent="0.25">
      <c r="J44" s="44" t="s">
        <v>906</v>
      </c>
      <c r="K44" s="74" t="s">
        <v>1153</v>
      </c>
      <c r="M44" s="143">
        <v>8543</v>
      </c>
      <c r="N44" s="42" t="str">
        <f t="shared" si="0"/>
        <v>8543*</v>
      </c>
    </row>
    <row r="45" spans="10:14" x14ac:dyDescent="0.25">
      <c r="J45" s="44" t="s">
        <v>907</v>
      </c>
      <c r="K45" s="74" t="s">
        <v>1154</v>
      </c>
      <c r="M45" s="143">
        <v>8533</v>
      </c>
      <c r="N45" s="42" t="str">
        <f t="shared" si="0"/>
        <v>8533*</v>
      </c>
    </row>
    <row r="46" spans="10:14" x14ac:dyDescent="0.25">
      <c r="J46" s="44" t="s">
        <v>872</v>
      </c>
      <c r="K46" s="42" t="str">
        <f>"????_????_????_"&amp;RIGHT(Liste!N6,5)&amp;"*"</f>
        <v>????_????_????_ktion*</v>
      </c>
      <c r="M46" s="141">
        <v>8413</v>
      </c>
      <c r="N46" s="42" t="str">
        <f t="shared" si="0"/>
        <v>8413*</v>
      </c>
    </row>
    <row r="47" spans="10:14" x14ac:dyDescent="0.25">
      <c r="J47" s="44" t="s">
        <v>871</v>
      </c>
      <c r="K47" s="42" t="str">
        <f>"????_????_????_"&amp;RIGHT(Liste!N7,5)&amp;"*"</f>
        <v>????_????_????_andel*</v>
      </c>
      <c r="M47" s="143">
        <v>8368</v>
      </c>
      <c r="N47" s="42" t="str">
        <f t="shared" ref="N47:N78" si="1">M47&amp;"*"</f>
        <v>8368*</v>
      </c>
    </row>
    <row r="48" spans="10:14" x14ac:dyDescent="0.25">
      <c r="J48" s="44" t="s">
        <v>870</v>
      </c>
      <c r="K48" s="42" t="str">
        <f>"????_????_????_"&amp;RIGHT(Liste!N8,5)&amp;"*"</f>
        <v>????_????_????_sport*</v>
      </c>
      <c r="M48" s="143">
        <v>8306</v>
      </c>
      <c r="N48" s="42" t="str">
        <f t="shared" si="1"/>
        <v>8306*</v>
      </c>
    </row>
    <row r="49" spans="10:14" x14ac:dyDescent="0.25">
      <c r="J49" s="44" t="s">
        <v>869</v>
      </c>
      <c r="K49" s="42" t="str">
        <f>"????_????_????_"&amp;RIGHT(Liste!N9,5)&amp;"*"</f>
        <v>????_????_????_ssung*</v>
      </c>
      <c r="M49" s="142">
        <v>8289</v>
      </c>
      <c r="N49" s="42" t="str">
        <f t="shared" si="1"/>
        <v>8289*</v>
      </c>
    </row>
    <row r="50" spans="10:14" x14ac:dyDescent="0.25">
      <c r="J50" s="44" t="s">
        <v>868</v>
      </c>
      <c r="K50" s="42" t="str">
        <f>"????_????_????_"&amp;RIGHT(Liste!N10,5)&amp;"*"</f>
        <v>????_????_????_enter*</v>
      </c>
      <c r="M50" s="142">
        <v>8222</v>
      </c>
      <c r="N50" s="42" t="str">
        <f t="shared" si="1"/>
        <v>8222*</v>
      </c>
    </row>
    <row r="51" spans="10:14" x14ac:dyDescent="0.25">
      <c r="J51" s="44" t="s">
        <v>867</v>
      </c>
      <c r="K51" s="42" t="str">
        <f>"????_????_????_"&amp;RIGHT(Liste!N11,5)&amp;"*"</f>
        <v>????_????_????_tung *</v>
      </c>
      <c r="M51" s="143">
        <v>8171</v>
      </c>
      <c r="N51" s="42" t="str">
        <f t="shared" si="1"/>
        <v>8171*</v>
      </c>
    </row>
    <row r="52" spans="10:14" x14ac:dyDescent="0.25">
      <c r="J52" s="44" t="s">
        <v>866</v>
      </c>
      <c r="K52" s="42" t="str">
        <f>"????_????_????_"&amp;RIGHT(Liste!N12,5)&amp;"*"</f>
        <v>????_????_????_rcing*</v>
      </c>
      <c r="M52" s="143">
        <v>7951</v>
      </c>
      <c r="N52" s="42" t="str">
        <f t="shared" si="1"/>
        <v>7951*</v>
      </c>
    </row>
    <row r="53" spans="10:14" x14ac:dyDescent="0.25">
      <c r="J53" s="44" t="s">
        <v>865</v>
      </c>
      <c r="K53" s="42" t="str">
        <f>"????_????_????_"&amp;RIGHT(Liste!N13,5)&amp;"*"</f>
        <v>????_????_????_istik*</v>
      </c>
      <c r="M53" s="143">
        <v>7932</v>
      </c>
      <c r="N53" s="42" t="str">
        <f t="shared" si="1"/>
        <v>7932*</v>
      </c>
    </row>
    <row r="54" spans="10:14" x14ac:dyDescent="0.25">
      <c r="J54" s="44" t="s">
        <v>864</v>
      </c>
      <c r="K54" s="42" t="str">
        <f>"????_????_????_"&amp;RIGHT(Liste!N14,5)&amp;"*"</f>
        <v>????_????_????_lment*</v>
      </c>
      <c r="M54" s="143">
        <v>7931</v>
      </c>
      <c r="N54" s="42" t="str">
        <f t="shared" si="1"/>
        <v>7931*</v>
      </c>
    </row>
    <row r="55" spans="10:14" x14ac:dyDescent="0.25">
      <c r="J55" s="44" t="s">
        <v>863</v>
      </c>
      <c r="K55" s="42" t="str">
        <f>"????_????_????_"&amp;RIGHT(Liste!N15,5)&amp;"*"</f>
        <v>????_????_????_vices*</v>
      </c>
      <c r="M55" s="142">
        <v>7920</v>
      </c>
      <c r="N55" s="42" t="str">
        <f t="shared" si="1"/>
        <v>7920*</v>
      </c>
    </row>
    <row r="56" spans="10:14" x14ac:dyDescent="0.25">
      <c r="J56" s="44" t="s">
        <v>862</v>
      </c>
      <c r="K56" s="42" t="str">
        <f>"????_????_????_"&amp;RIGHT(Liste!N16,5)&amp;"*"</f>
        <v>????_????_????_tlung*</v>
      </c>
      <c r="M56" s="142">
        <v>7890</v>
      </c>
      <c r="N56" s="42" t="str">
        <f t="shared" si="1"/>
        <v>7890*</v>
      </c>
    </row>
    <row r="57" spans="10:14" x14ac:dyDescent="0.25">
      <c r="J57" s="44" t="s">
        <v>861</v>
      </c>
      <c r="K57" s="42" t="str">
        <f>"????_????_????_"&amp;RIGHT(Liste!N17,5)&amp;"*"</f>
        <v>????_????_????_ement*</v>
      </c>
      <c r="M57" s="142">
        <v>7861</v>
      </c>
      <c r="N57" s="42" t="str">
        <f t="shared" si="1"/>
        <v>7861*</v>
      </c>
    </row>
    <row r="58" spans="10:14" x14ac:dyDescent="0.25">
      <c r="J58" s="44" t="s">
        <v>860</v>
      </c>
      <c r="K58" s="42" t="str">
        <f>"????_????_????_"&amp;RIGHT(Liste!N18,5)&amp;"*"</f>
        <v>????_????_????_stige*</v>
      </c>
      <c r="M58" s="143">
        <v>7651</v>
      </c>
      <c r="N58" s="42" t="str">
        <f t="shared" si="1"/>
        <v>7651*</v>
      </c>
    </row>
    <row r="59" spans="10:14" x14ac:dyDescent="0.25">
      <c r="J59" s="44" t="s">
        <v>859</v>
      </c>
      <c r="K59" s="42" t="str">
        <f>"????_????_????_?????_"&amp;MID(Liste!P6,1,3)&amp;"*"</f>
        <v>????_????_????_?????_bis*</v>
      </c>
      <c r="M59" s="142">
        <v>7629</v>
      </c>
      <c r="N59" s="42" t="str">
        <f t="shared" si="1"/>
        <v>7629*</v>
      </c>
    </row>
    <row r="60" spans="10:14" x14ac:dyDescent="0.25">
      <c r="J60" s="44" t="s">
        <v>858</v>
      </c>
      <c r="K60" s="42" t="str">
        <f>"????_????_????_?????_"&amp;MID(Liste!P7,1,3)&amp;"*"</f>
        <v>????_????_????_?????_200*</v>
      </c>
      <c r="M60" s="141">
        <v>7628</v>
      </c>
      <c r="N60" s="42" t="str">
        <f t="shared" si="1"/>
        <v>7628*</v>
      </c>
    </row>
    <row r="61" spans="10:14" x14ac:dyDescent="0.25">
      <c r="J61" s="44" t="s">
        <v>857</v>
      </c>
      <c r="K61" s="42" t="str">
        <f>"????_????_????_?????_"&amp;MID(Liste!P8,1,3)&amp;"*"</f>
        <v>????_????_????_?????_500*</v>
      </c>
      <c r="M61" s="143">
        <v>7586</v>
      </c>
      <c r="N61" s="42" t="str">
        <f t="shared" si="1"/>
        <v>7586*</v>
      </c>
    </row>
    <row r="62" spans="10:14" x14ac:dyDescent="0.25">
      <c r="J62" s="44" t="s">
        <v>856</v>
      </c>
      <c r="K62" s="42" t="str">
        <f>"????_????_????_?????_"&amp;MID(Liste!P9,1,3)&amp;"*"</f>
        <v>????_????_????_?????_1 M*</v>
      </c>
      <c r="M62" s="143">
        <v>7518</v>
      </c>
      <c r="N62" s="42" t="str">
        <f t="shared" si="1"/>
        <v>7518*</v>
      </c>
    </row>
    <row r="63" spans="10:14" x14ac:dyDescent="0.25">
      <c r="J63" s="44" t="s">
        <v>855</v>
      </c>
      <c r="K63" s="42" t="str">
        <f>"????_????_????_?????_"&amp;MID(Liste!P10,1,3)&amp;"*"</f>
        <v>????_????_????_?????_5 M*</v>
      </c>
      <c r="M63" s="142">
        <v>7445</v>
      </c>
      <c r="N63" s="42" t="str">
        <f t="shared" si="1"/>
        <v>7445*</v>
      </c>
    </row>
    <row r="64" spans="10:14" x14ac:dyDescent="0.25">
      <c r="J64" s="44" t="s">
        <v>854</v>
      </c>
      <c r="K64" s="42" t="str">
        <f>"????_????_????_?????_"&amp;MID(Liste!P11,1,3)&amp;"*"</f>
        <v>????_????_????_?????_übe*</v>
      </c>
      <c r="M64" s="143">
        <v>7435</v>
      </c>
      <c r="N64" s="42" t="str">
        <f t="shared" si="1"/>
        <v>7435*</v>
      </c>
    </row>
    <row r="65" spans="10:14" x14ac:dyDescent="0.25">
      <c r="J65" s="44" t="s">
        <v>853</v>
      </c>
      <c r="K65" s="42" t="str">
        <f>"????_????_????_?????_???_"&amp;MID(Liste!R6,1,3)&amp;"*"</f>
        <v>????_????_????_?????_???_4 -*</v>
      </c>
      <c r="M65" s="143">
        <v>7350</v>
      </c>
      <c r="N65" s="42" t="str">
        <f t="shared" si="1"/>
        <v>7350*</v>
      </c>
    </row>
    <row r="66" spans="10:14" x14ac:dyDescent="0.25">
      <c r="J66" s="44" t="s">
        <v>852</v>
      </c>
      <c r="K66" s="42" t="str">
        <f>"????_????_????_?????_???_"&amp;MID(Liste!R7,1,3)&amp;"*"</f>
        <v>????_????_????_?????_???_10 *</v>
      </c>
      <c r="M66" s="142">
        <v>7042</v>
      </c>
      <c r="N66" s="42" t="str">
        <f t="shared" si="1"/>
        <v>7042*</v>
      </c>
    </row>
    <row r="67" spans="10:14" x14ac:dyDescent="0.25">
      <c r="J67" s="44" t="s">
        <v>851</v>
      </c>
      <c r="K67" s="42" t="str">
        <f>"????_????_????_?????_???_"&amp;MID(Liste!R8,1,3)&amp;"*"</f>
        <v>????_????_????_?????_???_20 *</v>
      </c>
      <c r="M67" s="143">
        <v>6996</v>
      </c>
      <c r="N67" s="42" t="str">
        <f t="shared" si="1"/>
        <v>6996*</v>
      </c>
    </row>
    <row r="68" spans="10:14" x14ac:dyDescent="0.25">
      <c r="J68" s="44" t="s">
        <v>850</v>
      </c>
      <c r="K68" s="42" t="str">
        <f>"????_????_????_?????_???_"&amp;MID(Liste!R9,1,3)&amp;"*"</f>
        <v>????_????_????_?????_???_50 *</v>
      </c>
      <c r="M68" s="142">
        <v>6825</v>
      </c>
      <c r="N68" s="42" t="str">
        <f t="shared" si="1"/>
        <v>6825*</v>
      </c>
    </row>
    <row r="69" spans="10:14" x14ac:dyDescent="0.25">
      <c r="J69" s="44" t="s">
        <v>849</v>
      </c>
      <c r="K69" s="42" t="str">
        <f>"????_????_????_?????_???_"&amp;MID(Liste!R10,1,3)&amp;"*"</f>
        <v>????_????_????_?????_???_100*</v>
      </c>
      <c r="M69" s="143">
        <v>6768</v>
      </c>
      <c r="N69" s="42" t="str">
        <f t="shared" si="1"/>
        <v>6768*</v>
      </c>
    </row>
    <row r="70" spans="10:14" x14ac:dyDescent="0.25">
      <c r="J70" s="44" t="s">
        <v>848</v>
      </c>
      <c r="K70" s="42" t="str">
        <f>"????_????_????_?????_???_"&amp;MID(Liste!R11,1,3)&amp;"*"</f>
        <v>????_????_????_?????_???_200*</v>
      </c>
      <c r="M70" s="143">
        <v>6734</v>
      </c>
      <c r="N70" s="42" t="str">
        <f t="shared" si="1"/>
        <v>6734*</v>
      </c>
    </row>
    <row r="71" spans="10:14" x14ac:dyDescent="0.25">
      <c r="J71" s="44" t="s">
        <v>847</v>
      </c>
      <c r="K71" s="42" t="str">
        <f>"????_????_????_?????_???_"&amp;MID(Liste!R12,1,3)&amp;"*"</f>
        <v>????_????_????_?????_???_500*</v>
      </c>
      <c r="M71" s="142">
        <v>6636</v>
      </c>
      <c r="N71" s="42" t="str">
        <f t="shared" si="1"/>
        <v>6636*</v>
      </c>
    </row>
    <row r="72" spans="10:14" x14ac:dyDescent="0.25">
      <c r="J72" s="44" t="s">
        <v>846</v>
      </c>
      <c r="K72" s="42" t="str">
        <f>"????_????_????_?????_???_"&amp;MID(Liste!R13,1,3)&amp;"*"</f>
        <v>????_????_????_?????_???_ab *</v>
      </c>
      <c r="M72" s="142">
        <v>6609</v>
      </c>
      <c r="N72" s="42" t="str">
        <f t="shared" si="1"/>
        <v>6609*</v>
      </c>
    </row>
    <row r="73" spans="10:14" x14ac:dyDescent="0.25">
      <c r="J73" s="44" t="s">
        <v>845</v>
      </c>
      <c r="K73" s="42" t="str">
        <f>"????_????_????_?????_???_???_"&amp;MID(Liste!T6,1,2)&amp;"*"</f>
        <v>????_????_????_?????_???_???_bi*</v>
      </c>
      <c r="M73" s="142">
        <v>6363</v>
      </c>
      <c r="N73" s="42" t="str">
        <f t="shared" si="1"/>
        <v>6363*</v>
      </c>
    </row>
    <row r="74" spans="10:14" x14ac:dyDescent="0.25">
      <c r="J74" s="152" t="s">
        <v>1697</v>
      </c>
      <c r="K74" s="42" t="str">
        <f>"????_????_????_?????_???_???_"&amp;MID(Liste!T7,1,2)&amp;"*"</f>
        <v>????_????_????_?????_???_???_10*</v>
      </c>
      <c r="M74" s="143">
        <v>6277</v>
      </c>
      <c r="N74" s="42" t="str">
        <f t="shared" si="1"/>
        <v>6277*</v>
      </c>
    </row>
    <row r="75" spans="10:14" x14ac:dyDescent="0.25">
      <c r="J75" s="152" t="s">
        <v>1698</v>
      </c>
      <c r="K75" s="42" t="str">
        <f>"????_????_????_?????_???_???_"&amp;MID(Liste!T8,1,2)&amp;"*"</f>
        <v>????_????_????_?????_???_???_20*</v>
      </c>
      <c r="M75" s="142">
        <v>6269</v>
      </c>
      <c r="N75" s="42" t="str">
        <f t="shared" si="1"/>
        <v>6269*</v>
      </c>
    </row>
    <row r="76" spans="10:14" x14ac:dyDescent="0.25">
      <c r="J76" s="152" t="s">
        <v>1699</v>
      </c>
      <c r="K76" s="42" t="str">
        <f>"????_????_????_?????_???_???_"&amp;MID(Liste!T9,1,2)&amp;"*"</f>
        <v>????_????_????_?????_???_???_30*</v>
      </c>
      <c r="M76" s="143">
        <v>6229</v>
      </c>
      <c r="N76" s="42" t="str">
        <f t="shared" si="1"/>
        <v>6229*</v>
      </c>
    </row>
    <row r="77" spans="10:14" x14ac:dyDescent="0.25">
      <c r="J77" s="152" t="s">
        <v>1700</v>
      </c>
      <c r="K77" s="42" t="str">
        <f>"????_????_????_?????_???_???_"&amp;MID(Liste!T10,1,2)&amp;"*"</f>
        <v>????_????_????_?????_???_???_50*</v>
      </c>
      <c r="M77" s="143">
        <v>6116</v>
      </c>
      <c r="N77" s="42" t="str">
        <f t="shared" si="1"/>
        <v>6116*</v>
      </c>
    </row>
    <row r="78" spans="10:14" x14ac:dyDescent="0.25">
      <c r="J78" s="152" t="s">
        <v>1701</v>
      </c>
      <c r="K78" s="42" t="str">
        <f>"????_????_????_?????_???_???_"&amp;MID(Liste!T11,1,2)&amp;"*"</f>
        <v>????_????_????_?????_???_???_75*</v>
      </c>
      <c r="M78" s="142">
        <v>5954</v>
      </c>
      <c r="N78" s="42" t="str">
        <f t="shared" si="1"/>
        <v>5954*</v>
      </c>
    </row>
    <row r="79" spans="10:14" x14ac:dyDescent="0.25">
      <c r="J79" s="119" t="s">
        <v>1627</v>
      </c>
      <c r="K79" s="42"/>
      <c r="M79" s="142">
        <v>5905</v>
      </c>
      <c r="N79" s="42" t="str">
        <f t="shared" ref="N79:N110" si="2">M79&amp;"*"</f>
        <v>5905*</v>
      </c>
    </row>
    <row r="80" spans="10:14" x14ac:dyDescent="0.25">
      <c r="J80" s="44"/>
      <c r="K80" s="42"/>
      <c r="M80" s="142">
        <v>5729</v>
      </c>
      <c r="N80" s="42" t="str">
        <f t="shared" si="2"/>
        <v>5729*</v>
      </c>
    </row>
    <row r="81" spans="10:14" x14ac:dyDescent="0.25">
      <c r="J81" s="44"/>
      <c r="K81" s="42"/>
      <c r="M81" s="143">
        <v>5642</v>
      </c>
      <c r="N81" s="42" t="str">
        <f t="shared" si="2"/>
        <v>5642*</v>
      </c>
    </row>
    <row r="82" spans="10:14" x14ac:dyDescent="0.25">
      <c r="J82" s="44"/>
      <c r="K82" s="42"/>
      <c r="M82" s="143">
        <v>5563</v>
      </c>
      <c r="N82" s="42" t="str">
        <f t="shared" si="2"/>
        <v>5563*</v>
      </c>
    </row>
    <row r="83" spans="10:14" x14ac:dyDescent="0.25">
      <c r="J83" s="44"/>
      <c r="K83" s="42"/>
      <c r="M83" s="142">
        <v>5555</v>
      </c>
      <c r="N83" s="42" t="str">
        <f t="shared" si="2"/>
        <v>5555*</v>
      </c>
    </row>
    <row r="84" spans="10:14" x14ac:dyDescent="0.25">
      <c r="J84" s="44"/>
      <c r="K84" s="42"/>
      <c r="M84" s="143">
        <v>5414</v>
      </c>
      <c r="N84" s="42" t="str">
        <f t="shared" si="2"/>
        <v>5414*</v>
      </c>
    </row>
    <row r="85" spans="10:14" x14ac:dyDescent="0.25">
      <c r="J85" s="44"/>
      <c r="K85" s="42"/>
      <c r="M85" s="143">
        <v>5405</v>
      </c>
      <c r="N85" s="42" t="str">
        <f t="shared" si="2"/>
        <v>5405*</v>
      </c>
    </row>
    <row r="86" spans="10:14" x14ac:dyDescent="0.25">
      <c r="J86" s="44"/>
      <c r="K86" s="42"/>
      <c r="M86" s="141">
        <v>5392</v>
      </c>
      <c r="N86" s="42" t="str">
        <f t="shared" si="2"/>
        <v>5392*</v>
      </c>
    </row>
    <row r="87" spans="10:14" x14ac:dyDescent="0.25">
      <c r="J87" s="44"/>
      <c r="K87" s="42"/>
      <c r="M87" s="142">
        <v>5360</v>
      </c>
      <c r="N87" s="42" t="str">
        <f t="shared" si="2"/>
        <v>5360*</v>
      </c>
    </row>
    <row r="88" spans="10:14" x14ac:dyDescent="0.25">
      <c r="J88" s="44"/>
      <c r="K88" s="42"/>
      <c r="M88" s="142">
        <v>5350</v>
      </c>
      <c r="N88" s="42" t="str">
        <f t="shared" si="2"/>
        <v>5350*</v>
      </c>
    </row>
    <row r="89" spans="10:14" x14ac:dyDescent="0.25">
      <c r="J89" s="44"/>
      <c r="K89" s="42"/>
      <c r="M89" s="142">
        <v>5284</v>
      </c>
      <c r="N89" s="42" t="str">
        <f t="shared" si="2"/>
        <v>5284*</v>
      </c>
    </row>
    <row r="90" spans="10:14" x14ac:dyDescent="0.25">
      <c r="J90" s="44"/>
      <c r="K90" s="42"/>
      <c r="M90" s="142">
        <v>5262</v>
      </c>
      <c r="N90" s="42" t="str">
        <f t="shared" si="2"/>
        <v>5262*</v>
      </c>
    </row>
    <row r="91" spans="10:14" x14ac:dyDescent="0.25">
      <c r="J91" s="44"/>
      <c r="K91" s="42"/>
      <c r="M91" s="142">
        <v>5086</v>
      </c>
      <c r="N91" s="42" t="str">
        <f t="shared" si="2"/>
        <v>5086*</v>
      </c>
    </row>
    <row r="92" spans="10:14" x14ac:dyDescent="0.25">
      <c r="J92" s="44"/>
      <c r="K92" s="42"/>
      <c r="M92" s="143">
        <v>5085</v>
      </c>
      <c r="N92" s="42" t="str">
        <f t="shared" si="2"/>
        <v>5085*</v>
      </c>
    </row>
    <row r="93" spans="10:14" x14ac:dyDescent="0.25">
      <c r="J93" s="44"/>
      <c r="K93" s="42"/>
      <c r="M93" s="142">
        <v>5041</v>
      </c>
      <c r="N93" s="42" t="str">
        <f t="shared" si="2"/>
        <v>5041*</v>
      </c>
    </row>
    <row r="94" spans="10:14" x14ac:dyDescent="0.25">
      <c r="J94" s="44"/>
      <c r="K94" s="42"/>
      <c r="M94" s="143">
        <v>5013</v>
      </c>
      <c r="N94" s="42" t="str">
        <f t="shared" si="2"/>
        <v>5013*</v>
      </c>
    </row>
    <row r="95" spans="10:14" x14ac:dyDescent="0.25">
      <c r="J95" s="44"/>
      <c r="K95" s="42"/>
      <c r="M95" s="142">
        <v>4975</v>
      </c>
      <c r="N95" s="42" t="str">
        <f t="shared" si="2"/>
        <v>4975*</v>
      </c>
    </row>
    <row r="96" spans="10:14" x14ac:dyDescent="0.25">
      <c r="J96" s="44"/>
      <c r="K96" s="42"/>
      <c r="M96" s="141">
        <v>4952</v>
      </c>
      <c r="N96" s="42" t="str">
        <f t="shared" si="2"/>
        <v>4952*</v>
      </c>
    </row>
    <row r="97" spans="10:14" x14ac:dyDescent="0.25">
      <c r="J97" s="44"/>
      <c r="K97" s="42"/>
      <c r="M97" s="142">
        <v>4801</v>
      </c>
      <c r="N97" s="42" t="str">
        <f t="shared" si="2"/>
        <v>4801*</v>
      </c>
    </row>
    <row r="98" spans="10:14" x14ac:dyDescent="0.25">
      <c r="J98" s="44"/>
      <c r="K98" s="42"/>
      <c r="M98" s="143">
        <v>4728</v>
      </c>
      <c r="N98" s="42" t="str">
        <f t="shared" si="2"/>
        <v>4728*</v>
      </c>
    </row>
    <row r="99" spans="10:14" x14ac:dyDescent="0.25">
      <c r="J99" s="44"/>
      <c r="K99" s="42"/>
      <c r="M99" s="143">
        <v>4552</v>
      </c>
      <c r="N99" s="42" t="str">
        <f t="shared" si="2"/>
        <v>4552*</v>
      </c>
    </row>
    <row r="100" spans="10:14" x14ac:dyDescent="0.25">
      <c r="J100" s="44"/>
      <c r="K100" s="42"/>
      <c r="M100" s="142">
        <v>4488</v>
      </c>
      <c r="N100" s="42" t="str">
        <f t="shared" si="2"/>
        <v>4488*</v>
      </c>
    </row>
    <row r="101" spans="10:14" x14ac:dyDescent="0.25">
      <c r="J101" s="44"/>
      <c r="K101" s="42"/>
      <c r="M101" s="142">
        <v>4444</v>
      </c>
      <c r="N101" s="42" t="str">
        <f t="shared" si="2"/>
        <v>4444*</v>
      </c>
    </row>
    <row r="102" spans="10:14" x14ac:dyDescent="0.25">
      <c r="J102" s="44"/>
      <c r="K102" s="42"/>
      <c r="M102" s="142">
        <v>4412</v>
      </c>
      <c r="N102" s="42" t="str">
        <f t="shared" si="2"/>
        <v>4412*</v>
      </c>
    </row>
    <row r="103" spans="10:14" x14ac:dyDescent="0.25">
      <c r="J103" s="44"/>
      <c r="K103" s="42"/>
      <c r="M103" s="143">
        <v>4381</v>
      </c>
      <c r="N103" s="42" t="str">
        <f t="shared" si="2"/>
        <v>4381*</v>
      </c>
    </row>
    <row r="104" spans="10:14" x14ac:dyDescent="0.25">
      <c r="J104" s="44"/>
      <c r="K104" s="42"/>
      <c r="M104" s="143">
        <v>4319</v>
      </c>
      <c r="N104" s="42" t="str">
        <f t="shared" si="2"/>
        <v>4319*</v>
      </c>
    </row>
    <row r="105" spans="10:14" x14ac:dyDescent="0.25">
      <c r="J105" s="44"/>
      <c r="K105" s="42"/>
      <c r="M105" s="142">
        <v>4290</v>
      </c>
      <c r="N105" s="42" t="str">
        <f t="shared" si="2"/>
        <v>4290*</v>
      </c>
    </row>
    <row r="106" spans="10:14" x14ac:dyDescent="0.25">
      <c r="J106" s="44"/>
      <c r="K106" s="42"/>
      <c r="M106" s="143">
        <v>4284</v>
      </c>
      <c r="N106" s="42" t="str">
        <f t="shared" si="2"/>
        <v>4284*</v>
      </c>
    </row>
    <row r="107" spans="10:14" x14ac:dyDescent="0.25">
      <c r="J107" s="44"/>
      <c r="K107" s="42"/>
      <c r="M107" s="143">
        <v>4241</v>
      </c>
      <c r="N107" s="42" t="str">
        <f t="shared" si="2"/>
        <v>4241*</v>
      </c>
    </row>
    <row r="108" spans="10:14" x14ac:dyDescent="0.25">
      <c r="J108" s="44"/>
      <c r="K108" s="42"/>
      <c r="M108" s="142">
        <v>4220</v>
      </c>
      <c r="N108" s="42" t="str">
        <f t="shared" si="2"/>
        <v>4220*</v>
      </c>
    </row>
    <row r="109" spans="10:14" x14ac:dyDescent="0.25">
      <c r="J109" s="44"/>
      <c r="K109" s="42"/>
      <c r="M109" s="143">
        <v>4170</v>
      </c>
      <c r="N109" s="42" t="str">
        <f t="shared" si="2"/>
        <v>4170*</v>
      </c>
    </row>
    <row r="110" spans="10:14" x14ac:dyDescent="0.25">
      <c r="J110" s="44"/>
      <c r="K110" s="42"/>
      <c r="M110" s="142">
        <v>4124</v>
      </c>
      <c r="N110" s="42" t="str">
        <f t="shared" si="2"/>
        <v>4124*</v>
      </c>
    </row>
    <row r="111" spans="10:14" x14ac:dyDescent="0.25">
      <c r="J111" s="44"/>
      <c r="K111" s="42"/>
      <c r="M111" s="143">
        <v>4045</v>
      </c>
      <c r="N111" s="42" t="str">
        <f t="shared" ref="N111:N142" si="3">M111&amp;"*"</f>
        <v>4045*</v>
      </c>
    </row>
    <row r="112" spans="10:14" x14ac:dyDescent="0.25">
      <c r="J112" s="44"/>
      <c r="K112" s="42"/>
      <c r="M112" s="142">
        <v>4031</v>
      </c>
      <c r="N112" s="42" t="str">
        <f t="shared" si="3"/>
        <v>4031*</v>
      </c>
    </row>
    <row r="113" spans="10:14" x14ac:dyDescent="0.25">
      <c r="J113" s="44"/>
      <c r="K113" s="42"/>
      <c r="M113" s="143">
        <v>3926</v>
      </c>
      <c r="N113" s="42" t="str">
        <f t="shared" si="3"/>
        <v>3926*</v>
      </c>
    </row>
    <row r="114" spans="10:14" x14ac:dyDescent="0.25">
      <c r="J114" s="44"/>
      <c r="K114" s="42"/>
      <c r="M114" s="143">
        <v>3890</v>
      </c>
      <c r="N114" s="42" t="str">
        <f t="shared" si="3"/>
        <v>3890*</v>
      </c>
    </row>
    <row r="115" spans="10:14" x14ac:dyDescent="0.25">
      <c r="J115" s="44"/>
      <c r="K115" s="42"/>
      <c r="M115" s="143">
        <v>3846</v>
      </c>
      <c r="N115" s="42" t="str">
        <f t="shared" si="3"/>
        <v>3846*</v>
      </c>
    </row>
    <row r="116" spans="10:14" x14ac:dyDescent="0.25">
      <c r="J116" s="44"/>
      <c r="K116" s="42"/>
      <c r="M116" s="143">
        <v>3830</v>
      </c>
      <c r="N116" s="42" t="str">
        <f t="shared" si="3"/>
        <v>3830*</v>
      </c>
    </row>
    <row r="117" spans="10:14" x14ac:dyDescent="0.25">
      <c r="J117" s="44"/>
      <c r="K117" s="42"/>
      <c r="M117" s="142">
        <v>3728</v>
      </c>
      <c r="N117" s="42" t="str">
        <f t="shared" si="3"/>
        <v>3728*</v>
      </c>
    </row>
    <row r="118" spans="10:14" x14ac:dyDescent="0.25">
      <c r="J118" s="44"/>
      <c r="K118" s="42"/>
      <c r="M118" s="143">
        <v>3583</v>
      </c>
      <c r="N118" s="42" t="str">
        <f t="shared" si="3"/>
        <v>3583*</v>
      </c>
    </row>
    <row r="119" spans="10:14" x14ac:dyDescent="0.25">
      <c r="J119" s="44"/>
      <c r="K119" s="42"/>
      <c r="M119" s="143">
        <v>3526</v>
      </c>
      <c r="N119" s="42" t="str">
        <f t="shared" si="3"/>
        <v>3526*</v>
      </c>
    </row>
    <row r="120" spans="10:14" x14ac:dyDescent="0.25">
      <c r="J120" s="44"/>
      <c r="K120" s="42"/>
      <c r="M120" s="142">
        <v>3422</v>
      </c>
      <c r="N120" s="42" t="str">
        <f t="shared" si="3"/>
        <v>3422*</v>
      </c>
    </row>
    <row r="121" spans="10:14" x14ac:dyDescent="0.25">
      <c r="J121" s="44"/>
      <c r="K121" s="42"/>
      <c r="M121" s="141">
        <v>3377</v>
      </c>
      <c r="N121" s="42" t="str">
        <f t="shared" si="3"/>
        <v>3377*</v>
      </c>
    </row>
    <row r="122" spans="10:14" x14ac:dyDescent="0.25">
      <c r="J122" s="44"/>
      <c r="K122" s="42"/>
      <c r="M122" s="142">
        <v>3355</v>
      </c>
      <c r="N122" s="42" t="str">
        <f t="shared" si="3"/>
        <v>3355*</v>
      </c>
    </row>
    <row r="123" spans="10:14" x14ac:dyDescent="0.25">
      <c r="J123" s="44"/>
      <c r="K123" s="42"/>
      <c r="M123" s="142">
        <v>3161</v>
      </c>
      <c r="N123" s="42" t="str">
        <f t="shared" si="3"/>
        <v>3161*</v>
      </c>
    </row>
    <row r="124" spans="10:14" x14ac:dyDescent="0.25">
      <c r="J124" s="44"/>
      <c r="K124" s="42"/>
      <c r="M124" s="143">
        <v>3129</v>
      </c>
      <c r="N124" s="42" t="str">
        <f t="shared" si="3"/>
        <v>3129*</v>
      </c>
    </row>
    <row r="125" spans="10:14" x14ac:dyDescent="0.25">
      <c r="J125" s="44"/>
      <c r="K125" s="42"/>
      <c r="M125" s="143">
        <v>3114</v>
      </c>
      <c r="N125" s="42" t="str">
        <f t="shared" si="3"/>
        <v>3114*</v>
      </c>
    </row>
    <row r="126" spans="10:14" x14ac:dyDescent="0.25">
      <c r="J126" s="44"/>
      <c r="K126" s="42"/>
      <c r="M126" s="142">
        <v>3023</v>
      </c>
      <c r="N126" s="42" t="str">
        <f t="shared" si="3"/>
        <v>3023*</v>
      </c>
    </row>
    <row r="127" spans="10:14" x14ac:dyDescent="0.25">
      <c r="J127" s="44"/>
      <c r="K127" s="42"/>
      <c r="M127" s="142">
        <v>3021</v>
      </c>
      <c r="N127" s="42" t="str">
        <f t="shared" si="3"/>
        <v>3021*</v>
      </c>
    </row>
    <row r="128" spans="10:14" x14ac:dyDescent="0.25">
      <c r="J128" s="44"/>
      <c r="K128" s="42"/>
      <c r="M128" s="143">
        <v>2904</v>
      </c>
      <c r="N128" s="42" t="str">
        <f t="shared" si="3"/>
        <v>2904*</v>
      </c>
    </row>
    <row r="129" spans="10:14" x14ac:dyDescent="0.25">
      <c r="J129" s="44"/>
      <c r="K129" s="42"/>
      <c r="M129" s="143">
        <v>2870</v>
      </c>
      <c r="N129" s="42" t="str">
        <f t="shared" si="3"/>
        <v>2870*</v>
      </c>
    </row>
    <row r="130" spans="10:14" x14ac:dyDescent="0.25">
      <c r="J130" s="44"/>
      <c r="K130" s="42"/>
      <c r="M130" s="142">
        <v>2848</v>
      </c>
      <c r="N130" s="42" t="str">
        <f t="shared" si="3"/>
        <v>2848*</v>
      </c>
    </row>
    <row r="131" spans="10:14" x14ac:dyDescent="0.25">
      <c r="J131" s="44"/>
      <c r="K131" s="42"/>
      <c r="M131" s="143">
        <v>2842</v>
      </c>
      <c r="N131" s="42" t="str">
        <f t="shared" si="3"/>
        <v>2842*</v>
      </c>
    </row>
    <row r="132" spans="10:14" x14ac:dyDescent="0.25">
      <c r="J132" s="44"/>
      <c r="K132" s="42"/>
      <c r="M132" s="143">
        <v>2802</v>
      </c>
      <c r="N132" s="42" t="str">
        <f t="shared" si="3"/>
        <v>2802*</v>
      </c>
    </row>
    <row r="133" spans="10:14" x14ac:dyDescent="0.25">
      <c r="J133" s="44"/>
      <c r="K133" s="42"/>
      <c r="M133" s="142">
        <v>2693</v>
      </c>
      <c r="N133" s="42" t="str">
        <f t="shared" si="3"/>
        <v>2693*</v>
      </c>
    </row>
    <row r="134" spans="10:14" x14ac:dyDescent="0.25">
      <c r="J134" s="44"/>
      <c r="K134" s="42"/>
      <c r="M134" s="143">
        <v>2686</v>
      </c>
      <c r="N134" s="42" t="str">
        <f t="shared" si="3"/>
        <v>2686*</v>
      </c>
    </row>
    <row r="135" spans="10:14" x14ac:dyDescent="0.25">
      <c r="J135" s="44"/>
      <c r="K135" s="42"/>
      <c r="M135" s="142">
        <v>2682</v>
      </c>
      <c r="N135" s="42" t="str">
        <f t="shared" si="3"/>
        <v>2682*</v>
      </c>
    </row>
    <row r="136" spans="10:14" x14ac:dyDescent="0.25">
      <c r="J136" s="44"/>
      <c r="K136" s="42"/>
      <c r="M136" s="143">
        <v>2639</v>
      </c>
      <c r="N136" s="42" t="str">
        <f t="shared" si="3"/>
        <v>2639*</v>
      </c>
    </row>
    <row r="137" spans="10:14" x14ac:dyDescent="0.25">
      <c r="J137" s="44"/>
      <c r="K137" s="42"/>
      <c r="M137" s="142">
        <v>2580</v>
      </c>
      <c r="N137" s="42" t="str">
        <f t="shared" si="3"/>
        <v>2580*</v>
      </c>
    </row>
    <row r="138" spans="10:14" x14ac:dyDescent="0.25">
      <c r="J138" s="44"/>
      <c r="K138" s="42"/>
      <c r="M138" s="143">
        <v>2560</v>
      </c>
      <c r="N138" s="42" t="str">
        <f t="shared" si="3"/>
        <v>2560*</v>
      </c>
    </row>
    <row r="139" spans="10:14" x14ac:dyDescent="0.25">
      <c r="J139" s="44"/>
      <c r="K139" s="42"/>
      <c r="M139" s="143">
        <v>2555</v>
      </c>
      <c r="N139" s="42" t="str">
        <f t="shared" si="3"/>
        <v>2555*</v>
      </c>
    </row>
    <row r="140" spans="10:14" x14ac:dyDescent="0.25">
      <c r="J140" s="44"/>
      <c r="K140" s="42"/>
      <c r="M140" s="141">
        <v>2377</v>
      </c>
      <c r="N140" s="42" t="str">
        <f t="shared" si="3"/>
        <v>2377*</v>
      </c>
    </row>
    <row r="141" spans="10:14" x14ac:dyDescent="0.25">
      <c r="J141" s="44"/>
      <c r="K141" s="42"/>
      <c r="M141" s="142">
        <v>2209</v>
      </c>
      <c r="N141" s="42" t="str">
        <f t="shared" si="3"/>
        <v>2209*</v>
      </c>
    </row>
    <row r="142" spans="10:14" x14ac:dyDescent="0.25">
      <c r="J142" s="44"/>
      <c r="K142" s="42"/>
      <c r="M142" s="143">
        <v>2161</v>
      </c>
      <c r="N142" s="42" t="str">
        <f t="shared" si="3"/>
        <v>2161*</v>
      </c>
    </row>
    <row r="143" spans="10:14" x14ac:dyDescent="0.25">
      <c r="J143" s="44"/>
      <c r="K143" s="42"/>
      <c r="M143" s="143">
        <v>2154</v>
      </c>
      <c r="N143" s="42" t="str">
        <f t="shared" ref="N143:N167" si="4">M143&amp;"*"</f>
        <v>2154*</v>
      </c>
    </row>
    <row r="144" spans="10:14" x14ac:dyDescent="0.25">
      <c r="J144" s="44"/>
      <c r="K144" s="42"/>
      <c r="M144" s="142">
        <v>2146</v>
      </c>
      <c r="N144" s="42" t="str">
        <f t="shared" si="4"/>
        <v>2146*</v>
      </c>
    </row>
    <row r="145" spans="10:14" x14ac:dyDescent="0.25">
      <c r="J145" s="44"/>
      <c r="K145" s="42"/>
      <c r="M145" s="143">
        <v>2002</v>
      </c>
      <c r="N145" s="42" t="str">
        <f t="shared" si="4"/>
        <v>2002*</v>
      </c>
    </row>
    <row r="146" spans="10:14" x14ac:dyDescent="0.25">
      <c r="J146" s="44"/>
      <c r="K146" s="42"/>
      <c r="M146" s="141">
        <v>1918</v>
      </c>
      <c r="N146" s="42" t="str">
        <f t="shared" si="4"/>
        <v>1918*</v>
      </c>
    </row>
    <row r="147" spans="10:14" x14ac:dyDescent="0.25">
      <c r="J147" s="44"/>
      <c r="K147" s="42"/>
      <c r="M147" s="143">
        <v>1917</v>
      </c>
      <c r="N147" s="42" t="str">
        <f t="shared" si="4"/>
        <v>1917*</v>
      </c>
    </row>
    <row r="148" spans="10:14" x14ac:dyDescent="0.25">
      <c r="J148" s="44"/>
      <c r="K148" s="42"/>
      <c r="M148" s="142">
        <v>1899</v>
      </c>
      <c r="N148" s="42" t="str">
        <f t="shared" si="4"/>
        <v>1899*</v>
      </c>
    </row>
    <row r="149" spans="10:14" x14ac:dyDescent="0.25">
      <c r="J149" s="44"/>
      <c r="K149" s="42"/>
      <c r="M149" s="142">
        <v>1830</v>
      </c>
      <c r="N149" s="42" t="str">
        <f t="shared" si="4"/>
        <v>1830*</v>
      </c>
    </row>
    <row r="150" spans="10:14" x14ac:dyDescent="0.25">
      <c r="J150" s="44"/>
      <c r="K150" s="42"/>
      <c r="M150" s="142">
        <v>1826</v>
      </c>
      <c r="N150" s="42" t="str">
        <f t="shared" si="4"/>
        <v>1826*</v>
      </c>
    </row>
    <row r="151" spans="10:14" x14ac:dyDescent="0.25">
      <c r="J151" s="44"/>
      <c r="K151" s="42"/>
      <c r="M151" s="142">
        <v>1636</v>
      </c>
      <c r="N151" s="42" t="str">
        <f t="shared" si="4"/>
        <v>1636*</v>
      </c>
    </row>
    <row r="152" spans="10:14" x14ac:dyDescent="0.25">
      <c r="J152" s="44"/>
      <c r="K152" s="42"/>
      <c r="M152" s="142">
        <v>1613</v>
      </c>
      <c r="N152" s="42" t="str">
        <f t="shared" si="4"/>
        <v>1613*</v>
      </c>
    </row>
    <row r="153" spans="10:14" x14ac:dyDescent="0.25">
      <c r="J153" s="44"/>
      <c r="K153" s="42"/>
      <c r="M153" s="142">
        <v>1609</v>
      </c>
      <c r="N153" s="42" t="str">
        <f t="shared" si="4"/>
        <v>1609*</v>
      </c>
    </row>
    <row r="154" spans="10:14" x14ac:dyDescent="0.25">
      <c r="J154" s="44"/>
      <c r="K154" s="42"/>
      <c r="M154" s="143">
        <v>1597</v>
      </c>
      <c r="N154" s="42" t="str">
        <f t="shared" si="4"/>
        <v>1597*</v>
      </c>
    </row>
    <row r="155" spans="10:14" x14ac:dyDescent="0.25">
      <c r="J155" s="44"/>
      <c r="K155" s="42"/>
      <c r="M155" s="142">
        <v>1590</v>
      </c>
      <c r="N155" s="42" t="str">
        <f t="shared" si="4"/>
        <v>1590*</v>
      </c>
    </row>
    <row r="156" spans="10:14" x14ac:dyDescent="0.25">
      <c r="J156" s="44"/>
      <c r="K156" s="42"/>
      <c r="M156" s="142">
        <v>1550</v>
      </c>
      <c r="N156" s="42" t="str">
        <f t="shared" si="4"/>
        <v>1550*</v>
      </c>
    </row>
    <row r="157" spans="10:14" x14ac:dyDescent="0.25">
      <c r="J157" s="44"/>
      <c r="K157" s="42"/>
      <c r="M157" s="142">
        <v>1545</v>
      </c>
      <c r="N157" s="42" t="str">
        <f t="shared" si="4"/>
        <v>1545*</v>
      </c>
    </row>
    <row r="158" spans="10:14" x14ac:dyDescent="0.25">
      <c r="J158" s="44"/>
      <c r="K158" s="42"/>
      <c r="M158" s="141">
        <v>1518</v>
      </c>
      <c r="N158" s="42" t="str">
        <f t="shared" si="4"/>
        <v>1518*</v>
      </c>
    </row>
    <row r="159" spans="10:14" x14ac:dyDescent="0.25">
      <c r="J159" s="44"/>
      <c r="K159" s="42"/>
      <c r="M159" s="142">
        <v>1448</v>
      </c>
      <c r="N159" s="42" t="str">
        <f t="shared" si="4"/>
        <v>1448*</v>
      </c>
    </row>
    <row r="160" spans="10:14" x14ac:dyDescent="0.25">
      <c r="J160" s="44"/>
      <c r="K160" s="42"/>
      <c r="M160" s="143">
        <v>1360</v>
      </c>
      <c r="N160" s="42" t="str">
        <f t="shared" si="4"/>
        <v>1360*</v>
      </c>
    </row>
    <row r="161" spans="10:14" x14ac:dyDescent="0.25">
      <c r="J161" s="44"/>
      <c r="K161" s="42"/>
      <c r="M161" s="142">
        <v>1354</v>
      </c>
      <c r="N161" s="42" t="str">
        <f t="shared" si="4"/>
        <v>1354*</v>
      </c>
    </row>
    <row r="162" spans="10:14" x14ac:dyDescent="0.25">
      <c r="J162" s="44"/>
      <c r="K162" s="42"/>
      <c r="M162" s="142">
        <v>1217</v>
      </c>
      <c r="N162" s="42" t="str">
        <f t="shared" si="4"/>
        <v>1217*</v>
      </c>
    </row>
    <row r="163" spans="10:14" x14ac:dyDescent="0.25">
      <c r="J163" s="44"/>
      <c r="K163" s="42"/>
      <c r="M163" s="143">
        <v>1211</v>
      </c>
      <c r="N163" s="42" t="str">
        <f t="shared" si="4"/>
        <v>1211*</v>
      </c>
    </row>
    <row r="164" spans="10:14" x14ac:dyDescent="0.25">
      <c r="J164" s="44"/>
      <c r="K164" s="42"/>
      <c r="M164" s="142">
        <v>1167</v>
      </c>
      <c r="N164" s="42" t="str">
        <f t="shared" si="4"/>
        <v>1167*</v>
      </c>
    </row>
    <row r="165" spans="10:14" x14ac:dyDescent="0.25">
      <c r="J165" s="44"/>
      <c r="K165" s="42"/>
      <c r="M165" s="142">
        <v>1087</v>
      </c>
      <c r="N165" s="42" t="str">
        <f t="shared" si="4"/>
        <v>1087*</v>
      </c>
    </row>
    <row r="166" spans="10:14" x14ac:dyDescent="0.25">
      <c r="J166" s="44"/>
      <c r="K166" s="42"/>
      <c r="M166" s="142">
        <v>1065</v>
      </c>
      <c r="N166" s="42" t="str">
        <f t="shared" si="4"/>
        <v>1065*</v>
      </c>
    </row>
    <row r="167" spans="10:14" x14ac:dyDescent="0.25">
      <c r="J167" s="44"/>
      <c r="K167" s="42"/>
      <c r="M167" s="144">
        <v>1047</v>
      </c>
      <c r="N167" s="62" t="str">
        <f t="shared" si="4"/>
        <v>1047*</v>
      </c>
    </row>
    <row r="168" spans="10:14" x14ac:dyDescent="0.25">
      <c r="J168" s="44"/>
      <c r="K168" s="42"/>
    </row>
    <row r="169" spans="10:14" x14ac:dyDescent="0.25">
      <c r="J169" s="44"/>
      <c r="K169" s="42"/>
    </row>
    <row r="170" spans="10:14" x14ac:dyDescent="0.25">
      <c r="J170" s="44"/>
      <c r="K170" s="42"/>
    </row>
    <row r="171" spans="10:14" x14ac:dyDescent="0.25">
      <c r="J171" s="44"/>
      <c r="K171" s="42"/>
    </row>
    <row r="172" spans="10:14" x14ac:dyDescent="0.25">
      <c r="J172" s="44"/>
      <c r="K172" s="42"/>
    </row>
    <row r="173" spans="10:14" x14ac:dyDescent="0.25">
      <c r="J173" s="44"/>
      <c r="K173" s="42"/>
    </row>
    <row r="174" spans="10:14" x14ac:dyDescent="0.25">
      <c r="J174" s="44"/>
      <c r="K174" s="42"/>
    </row>
    <row r="175" spans="10:14" x14ac:dyDescent="0.25">
      <c r="J175" s="44"/>
      <c r="K175" s="42"/>
    </row>
    <row r="176" spans="10:14" x14ac:dyDescent="0.25">
      <c r="J176" s="44"/>
      <c r="K176" s="42"/>
    </row>
    <row r="177" spans="10:11" x14ac:dyDescent="0.25">
      <c r="J177" s="44"/>
      <c r="K177" s="42"/>
    </row>
    <row r="178" spans="10:11" x14ac:dyDescent="0.25">
      <c r="J178" s="44"/>
      <c r="K178" s="42"/>
    </row>
    <row r="179" spans="10:11" x14ac:dyDescent="0.25">
      <c r="J179" s="44"/>
      <c r="K179" s="42"/>
    </row>
    <row r="180" spans="10:11" x14ac:dyDescent="0.25">
      <c r="J180" s="44"/>
      <c r="K180" s="42"/>
    </row>
    <row r="181" spans="10:11" x14ac:dyDescent="0.25">
      <c r="J181" s="44"/>
      <c r="K181" s="42"/>
    </row>
    <row r="182" spans="10:11" x14ac:dyDescent="0.25">
      <c r="J182" s="44"/>
      <c r="K182" s="42"/>
    </row>
    <row r="183" spans="10:11" x14ac:dyDescent="0.25">
      <c r="J183" s="44"/>
      <c r="K183" s="42"/>
    </row>
    <row r="184" spans="10:11" x14ac:dyDescent="0.25">
      <c r="J184" s="44"/>
      <c r="K184" s="42"/>
    </row>
    <row r="185" spans="10:11" x14ac:dyDescent="0.25">
      <c r="J185" s="44"/>
      <c r="K185" s="42"/>
    </row>
    <row r="186" spans="10:11" x14ac:dyDescent="0.25">
      <c r="J186" s="44"/>
      <c r="K186" s="42"/>
    </row>
    <row r="187" spans="10:11" x14ac:dyDescent="0.25">
      <c r="J187" s="44"/>
      <c r="K187" s="42"/>
    </row>
    <row r="188" spans="10:11" x14ac:dyDescent="0.25">
      <c r="J188" s="44"/>
      <c r="K188" s="42"/>
    </row>
    <row r="189" spans="10:11" x14ac:dyDescent="0.25">
      <c r="J189" s="44"/>
      <c r="K189" s="42"/>
    </row>
    <row r="190" spans="10:11" x14ac:dyDescent="0.25">
      <c r="J190" s="44"/>
      <c r="K190" s="42"/>
    </row>
    <row r="191" spans="10:11" x14ac:dyDescent="0.25">
      <c r="J191" s="44"/>
      <c r="K191" s="42"/>
    </row>
    <row r="192" spans="10:11" x14ac:dyDescent="0.25">
      <c r="J192" s="44"/>
      <c r="K192" s="42"/>
    </row>
    <row r="193" spans="10:11" x14ac:dyDescent="0.25">
      <c r="J193" s="44"/>
      <c r="K193" s="42"/>
    </row>
    <row r="194" spans="10:11" x14ac:dyDescent="0.25">
      <c r="J194" s="44"/>
      <c r="K194" s="42"/>
    </row>
    <row r="195" spans="10:11" x14ac:dyDescent="0.25">
      <c r="J195" s="44"/>
      <c r="K195" s="42"/>
    </row>
    <row r="196" spans="10:11" x14ac:dyDescent="0.25">
      <c r="J196" s="44"/>
      <c r="K196" s="42"/>
    </row>
    <row r="197" spans="10:11" x14ac:dyDescent="0.25">
      <c r="J197" s="44"/>
      <c r="K197" s="42"/>
    </row>
    <row r="198" spans="10:11" x14ac:dyDescent="0.25">
      <c r="J198" s="44"/>
      <c r="K198" s="42"/>
    </row>
    <row r="199" spans="10:11" x14ac:dyDescent="0.25">
      <c r="J199" s="44"/>
      <c r="K199" s="42"/>
    </row>
    <row r="200" spans="10:11" x14ac:dyDescent="0.25">
      <c r="J200" s="44"/>
      <c r="K200" s="42"/>
    </row>
    <row r="201" spans="10:11" x14ac:dyDescent="0.25">
      <c r="J201" s="44"/>
      <c r="K201" s="42"/>
    </row>
    <row r="202" spans="10:11" x14ac:dyDescent="0.25">
      <c r="J202" s="44"/>
      <c r="K202" s="42"/>
    </row>
    <row r="203" spans="10:11" x14ac:dyDescent="0.25">
      <c r="J203" s="44"/>
      <c r="K203" s="42"/>
    </row>
    <row r="204" spans="10:11" x14ac:dyDescent="0.25">
      <c r="J204" s="44"/>
      <c r="K204" s="42"/>
    </row>
    <row r="205" spans="10:11" x14ac:dyDescent="0.25">
      <c r="J205" s="44"/>
      <c r="K205" s="42"/>
    </row>
    <row r="206" spans="10:11" x14ac:dyDescent="0.25">
      <c r="J206" s="44"/>
      <c r="K206" s="42"/>
    </row>
    <row r="207" spans="10:11" x14ac:dyDescent="0.25">
      <c r="J207" s="44"/>
      <c r="K207" s="42"/>
    </row>
    <row r="208" spans="10:11" x14ac:dyDescent="0.25">
      <c r="J208" s="44"/>
      <c r="K208" s="42"/>
    </row>
    <row r="209" spans="10:11" x14ac:dyDescent="0.25">
      <c r="J209" s="44"/>
      <c r="K209" s="42"/>
    </row>
    <row r="210" spans="10:11" x14ac:dyDescent="0.25">
      <c r="J210" s="44"/>
      <c r="K210" s="42"/>
    </row>
    <row r="211" spans="10:11" x14ac:dyDescent="0.25">
      <c r="J211" s="44"/>
      <c r="K211" s="42"/>
    </row>
    <row r="212" spans="10:11" x14ac:dyDescent="0.25">
      <c r="J212" s="44"/>
      <c r="K212" s="42"/>
    </row>
    <row r="213" spans="10:11" x14ac:dyDescent="0.25">
      <c r="J213" s="44"/>
      <c r="K213" s="42"/>
    </row>
    <row r="214" spans="10:11" x14ac:dyDescent="0.25">
      <c r="J214" s="44"/>
      <c r="K214" s="42"/>
    </row>
    <row r="215" spans="10:11" x14ac:dyDescent="0.25">
      <c r="J215" s="44"/>
      <c r="K215" s="42"/>
    </row>
    <row r="216" spans="10:11" x14ac:dyDescent="0.25">
      <c r="J216" s="44"/>
      <c r="K216" s="42"/>
    </row>
    <row r="217" spans="10:11" x14ac:dyDescent="0.25">
      <c r="J217" s="44"/>
      <c r="K217" s="42"/>
    </row>
    <row r="218" spans="10:11" x14ac:dyDescent="0.25">
      <c r="J218" s="44"/>
      <c r="K218" s="42"/>
    </row>
    <row r="219" spans="10:11" x14ac:dyDescent="0.25">
      <c r="J219" s="44"/>
      <c r="K219" s="42"/>
    </row>
    <row r="220" spans="10:11" x14ac:dyDescent="0.25">
      <c r="J220" s="43"/>
      <c r="K220" s="62"/>
    </row>
  </sheetData>
  <autoFilter ref="M13:N13">
    <sortState ref="M14:N167">
      <sortCondition descending="1" ref="M13"/>
    </sortState>
  </autoFilter>
  <pageMargins left="0.7" right="0.7" top="0.78740157499999996" bottom="0.78740157499999996"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dimension ref="B5:AT25"/>
  <sheetViews>
    <sheetView topLeftCell="AD4" workbookViewId="0">
      <selection activeCell="AL8" sqref="AL8"/>
    </sheetView>
  </sheetViews>
  <sheetFormatPr baseColWidth="10" defaultColWidth="10.85546875" defaultRowHeight="15.75" x14ac:dyDescent="0.25"/>
  <cols>
    <col min="1" max="12" width="10.85546875" style="37"/>
    <col min="13" max="13" width="12.42578125" style="37" customWidth="1"/>
    <col min="14" max="16384" width="10.85546875" style="37"/>
  </cols>
  <sheetData>
    <row r="5" spans="2:46" x14ac:dyDescent="0.25">
      <c r="B5" s="45" t="s">
        <v>103</v>
      </c>
      <c r="C5" s="45"/>
      <c r="D5" s="45" t="s">
        <v>113</v>
      </c>
      <c r="E5" s="45"/>
      <c r="F5" s="45" t="s">
        <v>116</v>
      </c>
      <c r="G5" s="45"/>
      <c r="H5" s="45" t="s">
        <v>127</v>
      </c>
      <c r="I5" s="45"/>
      <c r="J5" s="45" t="s">
        <v>147</v>
      </c>
      <c r="K5" s="45"/>
      <c r="L5" s="45" t="s">
        <v>155</v>
      </c>
      <c r="M5" s="45"/>
      <c r="N5" s="45" t="s">
        <v>160</v>
      </c>
      <c r="O5" s="45"/>
      <c r="P5" s="45" t="s">
        <v>172</v>
      </c>
      <c r="Q5" s="45"/>
      <c r="R5" s="45" t="s">
        <v>888</v>
      </c>
      <c r="S5" s="45"/>
      <c r="T5" s="45" t="s">
        <v>887</v>
      </c>
      <c r="U5" s="45"/>
      <c r="V5" s="45" t="s">
        <v>886</v>
      </c>
      <c r="W5" s="45"/>
      <c r="X5" s="45" t="s">
        <v>1703</v>
      </c>
      <c r="Y5" s="45"/>
      <c r="Z5" s="45" t="s">
        <v>885</v>
      </c>
      <c r="AA5" s="45"/>
      <c r="AB5" s="45">
        <v>12</v>
      </c>
      <c r="AC5" s="45"/>
      <c r="AD5" s="45" t="s">
        <v>163</v>
      </c>
      <c r="AE5" s="45"/>
      <c r="AF5" s="45" t="s">
        <v>884</v>
      </c>
      <c r="AG5" s="45"/>
      <c r="AH5" s="45" t="s">
        <v>883</v>
      </c>
      <c r="AI5" s="45"/>
      <c r="AJ5" s="45" t="s">
        <v>882</v>
      </c>
      <c r="AK5" s="45"/>
      <c r="AL5" s="45" t="s">
        <v>881</v>
      </c>
      <c r="AM5" s="45"/>
      <c r="AN5" s="45" t="s">
        <v>880</v>
      </c>
      <c r="AO5" s="45"/>
      <c r="AP5" s="45" t="s">
        <v>879</v>
      </c>
      <c r="AQ5" s="45"/>
      <c r="AR5" s="45" t="s">
        <v>878</v>
      </c>
      <c r="AS5" s="45"/>
      <c r="AT5" s="45" t="s">
        <v>220</v>
      </c>
    </row>
    <row r="6" spans="2:46" x14ac:dyDescent="0.25">
      <c r="B6" s="37" t="s">
        <v>104</v>
      </c>
      <c r="D6" s="37" t="s">
        <v>114</v>
      </c>
      <c r="F6" s="37" t="s">
        <v>117</v>
      </c>
      <c r="H6" s="37" t="s">
        <v>104</v>
      </c>
      <c r="J6" s="37" t="s">
        <v>148</v>
      </c>
      <c r="L6" s="37" t="s">
        <v>156</v>
      </c>
      <c r="N6" s="37" t="s">
        <v>161</v>
      </c>
      <c r="P6" s="37" t="s">
        <v>173</v>
      </c>
      <c r="R6" s="58" t="s">
        <v>179</v>
      </c>
      <c r="T6" s="37" t="s">
        <v>187</v>
      </c>
      <c r="X6" s="37" t="s">
        <v>33</v>
      </c>
      <c r="Z6" s="37" t="s">
        <v>196</v>
      </c>
      <c r="AB6" s="37" t="s">
        <v>201</v>
      </c>
      <c r="AD6" s="37" t="s">
        <v>104</v>
      </c>
      <c r="AF6" s="37" t="s">
        <v>33</v>
      </c>
      <c r="AL6" s="37" t="s">
        <v>39</v>
      </c>
      <c r="AN6" s="37" t="s">
        <v>212</v>
      </c>
      <c r="AP6" s="37" t="s">
        <v>104</v>
      </c>
      <c r="AR6" s="37" t="s">
        <v>39</v>
      </c>
      <c r="AT6" s="37" t="s">
        <v>88</v>
      </c>
    </row>
    <row r="7" spans="2:46" x14ac:dyDescent="0.25">
      <c r="B7" s="37" t="s">
        <v>105</v>
      </c>
      <c r="D7" s="37" t="s">
        <v>115</v>
      </c>
      <c r="F7" s="37" t="s">
        <v>118</v>
      </c>
      <c r="H7" s="37" t="s">
        <v>128</v>
      </c>
      <c r="J7" s="153" t="s">
        <v>1702</v>
      </c>
      <c r="L7" s="37" t="s">
        <v>157</v>
      </c>
      <c r="N7" s="37" t="s">
        <v>162</v>
      </c>
      <c r="P7" s="37" t="s">
        <v>174</v>
      </c>
      <c r="R7" s="58" t="s">
        <v>180</v>
      </c>
      <c r="T7" s="37" t="s">
        <v>188</v>
      </c>
      <c r="X7" s="153" t="s">
        <v>1706</v>
      </c>
      <c r="Z7" s="37" t="s">
        <v>197</v>
      </c>
      <c r="AB7" s="37" t="s">
        <v>202</v>
      </c>
      <c r="AD7" s="37" t="s">
        <v>208</v>
      </c>
      <c r="AF7" s="37" t="s">
        <v>39</v>
      </c>
      <c r="AL7" s="37" t="s">
        <v>211</v>
      </c>
      <c r="AN7" s="37" t="s">
        <v>213</v>
      </c>
      <c r="AP7" s="37" t="s">
        <v>215</v>
      </c>
      <c r="AR7" s="37" t="s">
        <v>216</v>
      </c>
      <c r="AT7" s="37" t="s">
        <v>89</v>
      </c>
    </row>
    <row r="8" spans="2:46" x14ac:dyDescent="0.25">
      <c r="B8" s="37" t="s">
        <v>106</v>
      </c>
      <c r="F8" s="37" t="s">
        <v>119</v>
      </c>
      <c r="H8" s="37" t="s">
        <v>129</v>
      </c>
      <c r="J8" s="37" t="s">
        <v>150</v>
      </c>
      <c r="L8" s="37" t="s">
        <v>158</v>
      </c>
      <c r="N8" s="37" t="s">
        <v>163</v>
      </c>
      <c r="P8" s="37" t="s">
        <v>175</v>
      </c>
      <c r="R8" s="37" t="s">
        <v>181</v>
      </c>
      <c r="T8" s="37" t="s">
        <v>189</v>
      </c>
      <c r="X8" s="153" t="s">
        <v>1705</v>
      </c>
      <c r="Z8" s="37" t="s">
        <v>198</v>
      </c>
      <c r="AB8" s="37" t="s">
        <v>203</v>
      </c>
      <c r="AD8" s="37" t="s">
        <v>209</v>
      </c>
      <c r="AL8" s="37" t="s">
        <v>33</v>
      </c>
      <c r="AN8" s="37" t="s">
        <v>214</v>
      </c>
      <c r="AP8" s="37" t="s">
        <v>209</v>
      </c>
      <c r="AR8" s="153" t="s">
        <v>1707</v>
      </c>
      <c r="AT8" s="153" t="s">
        <v>1713</v>
      </c>
    </row>
    <row r="9" spans="2:46" x14ac:dyDescent="0.25">
      <c r="B9" s="37" t="s">
        <v>107</v>
      </c>
      <c r="F9" s="37" t="s">
        <v>120</v>
      </c>
      <c r="H9" s="37" t="s">
        <v>130</v>
      </c>
      <c r="J9" s="37" t="s">
        <v>151</v>
      </c>
      <c r="L9" s="37" t="s">
        <v>159</v>
      </c>
      <c r="N9" s="37" t="s">
        <v>164</v>
      </c>
      <c r="P9" s="37" t="s">
        <v>176</v>
      </c>
      <c r="R9" s="37" t="s">
        <v>182</v>
      </c>
      <c r="T9" s="37" t="s">
        <v>190</v>
      </c>
      <c r="X9" s="153" t="s">
        <v>1704</v>
      </c>
      <c r="Z9" s="37" t="s">
        <v>199</v>
      </c>
      <c r="AB9" s="37" t="s">
        <v>204</v>
      </c>
      <c r="AD9" s="37" t="s">
        <v>210</v>
      </c>
      <c r="AR9" s="153" t="s">
        <v>1708</v>
      </c>
      <c r="AT9" s="153" t="s">
        <v>1714</v>
      </c>
    </row>
    <row r="10" spans="2:46" x14ac:dyDescent="0.25">
      <c r="B10" s="37" t="s">
        <v>108</v>
      </c>
      <c r="F10" s="37" t="s">
        <v>121</v>
      </c>
      <c r="H10" s="37" t="s">
        <v>131</v>
      </c>
      <c r="J10" s="37" t="s">
        <v>152</v>
      </c>
      <c r="N10" s="37" t="s">
        <v>125</v>
      </c>
      <c r="P10" s="37" t="s">
        <v>177</v>
      </c>
      <c r="R10" s="37" t="s">
        <v>183</v>
      </c>
      <c r="T10" s="37" t="s">
        <v>191</v>
      </c>
      <c r="Z10" s="37" t="s">
        <v>200</v>
      </c>
      <c r="AB10" s="37" t="s">
        <v>205</v>
      </c>
      <c r="AR10" s="153" t="s">
        <v>1709</v>
      </c>
      <c r="AT10" s="37" t="s">
        <v>92</v>
      </c>
    </row>
    <row r="11" spans="2:46" x14ac:dyDescent="0.25">
      <c r="B11" s="37" t="s">
        <v>109</v>
      </c>
      <c r="F11" s="37" t="s">
        <v>122</v>
      </c>
      <c r="H11" s="37" t="s">
        <v>132</v>
      </c>
      <c r="J11" s="37" t="s">
        <v>153</v>
      </c>
      <c r="N11" s="37" t="s">
        <v>165</v>
      </c>
      <c r="P11" s="37" t="s">
        <v>178</v>
      </c>
      <c r="R11" s="37" t="s">
        <v>184</v>
      </c>
      <c r="T11" s="37" t="s">
        <v>192</v>
      </c>
      <c r="AB11" s="37" t="s">
        <v>206</v>
      </c>
      <c r="AT11" s="153" t="s">
        <v>1710</v>
      </c>
    </row>
    <row r="12" spans="2:46" x14ac:dyDescent="0.25">
      <c r="B12" s="37" t="s">
        <v>110</v>
      </c>
      <c r="F12" s="37" t="s">
        <v>123</v>
      </c>
      <c r="H12" s="37" t="s">
        <v>133</v>
      </c>
      <c r="J12" s="37" t="s">
        <v>154</v>
      </c>
      <c r="N12" s="37" t="s">
        <v>166</v>
      </c>
      <c r="R12" s="37" t="s">
        <v>185</v>
      </c>
      <c r="AB12" s="37" t="s">
        <v>207</v>
      </c>
      <c r="AT12" s="153" t="s">
        <v>1711</v>
      </c>
    </row>
    <row r="13" spans="2:46" x14ac:dyDescent="0.25">
      <c r="B13" s="37" t="s">
        <v>111</v>
      </c>
      <c r="F13" s="37" t="s">
        <v>124</v>
      </c>
      <c r="H13" s="37" t="s">
        <v>134</v>
      </c>
      <c r="N13" s="37" t="s">
        <v>167</v>
      </c>
      <c r="R13" s="37" t="s">
        <v>186</v>
      </c>
      <c r="AT13" s="153" t="s">
        <v>1712</v>
      </c>
    </row>
    <row r="14" spans="2:46" x14ac:dyDescent="0.25">
      <c r="B14" s="37" t="s">
        <v>112</v>
      </c>
      <c r="F14" s="37" t="s">
        <v>125</v>
      </c>
      <c r="H14" s="37" t="s">
        <v>135</v>
      </c>
      <c r="N14" s="37" t="s">
        <v>168</v>
      </c>
    </row>
    <row r="15" spans="2:46" x14ac:dyDescent="0.25">
      <c r="F15" s="37" t="s">
        <v>126</v>
      </c>
      <c r="H15" s="37" t="s">
        <v>136</v>
      </c>
      <c r="N15" s="37" t="s">
        <v>169</v>
      </c>
    </row>
    <row r="16" spans="2:46" x14ac:dyDescent="0.25">
      <c r="H16" s="37" t="s">
        <v>137</v>
      </c>
      <c r="N16" s="37" t="s">
        <v>170</v>
      </c>
    </row>
    <row r="17" spans="8:14" x14ac:dyDescent="0.25">
      <c r="H17" s="37" t="s">
        <v>138</v>
      </c>
      <c r="N17" s="37" t="s">
        <v>171</v>
      </c>
    </row>
    <row r="18" spans="8:14" x14ac:dyDescent="0.25">
      <c r="H18" s="37" t="s">
        <v>139</v>
      </c>
      <c r="N18" s="37" t="s">
        <v>154</v>
      </c>
    </row>
    <row r="19" spans="8:14" x14ac:dyDescent="0.25">
      <c r="H19" s="37" t="s">
        <v>140</v>
      </c>
    </row>
    <row r="20" spans="8:14" x14ac:dyDescent="0.25">
      <c r="H20" s="37" t="s">
        <v>141</v>
      </c>
    </row>
    <row r="21" spans="8:14" x14ac:dyDescent="0.25">
      <c r="H21" s="37" t="s">
        <v>142</v>
      </c>
    </row>
    <row r="22" spans="8:14" x14ac:dyDescent="0.25">
      <c r="H22" s="37" t="s">
        <v>143</v>
      </c>
    </row>
    <row r="23" spans="8:14" x14ac:dyDescent="0.25">
      <c r="H23" s="37" t="s">
        <v>144</v>
      </c>
    </row>
    <row r="24" spans="8:14" x14ac:dyDescent="0.25">
      <c r="H24" s="37" t="s">
        <v>145</v>
      </c>
    </row>
    <row r="25" spans="8:14" x14ac:dyDescent="0.25">
      <c r="H25" s="37" t="s">
        <v>146</v>
      </c>
    </row>
  </sheetData>
  <pageMargins left="0.7" right="0.7" top="0.78740157499999996" bottom="0.78740157499999996"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123</vt:i4>
      </vt:variant>
    </vt:vector>
  </HeadingPairs>
  <TitlesOfParts>
    <vt:vector size="133" baseType="lpstr">
      <vt:lpstr>Startseite</vt:lpstr>
      <vt:lpstr>Fokus1</vt:lpstr>
      <vt:lpstr>Basis f1</vt:lpstr>
      <vt:lpstr>Fokus 3</vt:lpstr>
      <vt:lpstr>Diagramme</vt:lpstr>
      <vt:lpstr>Basis Diag.</vt:lpstr>
      <vt:lpstr>Datenbank</vt:lpstr>
      <vt:lpstr>Liste Filter</vt:lpstr>
      <vt:lpstr>Liste</vt:lpstr>
      <vt:lpstr>Eingabetool</vt:lpstr>
      <vt:lpstr>AuswahlFilter1</vt:lpstr>
      <vt:lpstr>AuswahlFilter2</vt:lpstr>
      <vt:lpstr>Datenbank</vt:lpstr>
      <vt:lpstr>filter1</vt:lpstr>
      <vt:lpstr>filter2</vt:lpstr>
      <vt:lpstr>Liste1</vt:lpstr>
      <vt:lpstr>liste2</vt:lpstr>
      <vt:lpstr>Prozent</vt:lpstr>
      <vt:lpstr>SuchSpalte</vt:lpstr>
      <vt:lpstr>ta</vt:lpstr>
      <vt:lpstr>taa</vt:lpstr>
      <vt:lpstr>tab</vt:lpstr>
      <vt:lpstr>tac</vt:lpstr>
      <vt:lpstr>tad</vt:lpstr>
      <vt:lpstr>tae</vt:lpstr>
      <vt:lpstr>taf</vt:lpstr>
      <vt:lpstr>tag</vt:lpstr>
      <vt:lpstr>tah</vt:lpstr>
      <vt:lpstr>tai</vt:lpstr>
      <vt:lpstr>taj</vt:lpstr>
      <vt:lpstr>tak</vt:lpstr>
      <vt:lpstr>tal</vt:lpstr>
      <vt:lpstr>tam</vt:lpstr>
      <vt:lpstr>tan</vt:lpstr>
      <vt:lpstr>tao</vt:lpstr>
      <vt:lpstr>tap</vt:lpstr>
      <vt:lpstr>taq</vt:lpstr>
      <vt:lpstr>tar</vt:lpstr>
      <vt:lpstr>tas</vt:lpstr>
      <vt:lpstr>tat</vt:lpstr>
      <vt:lpstr>tau</vt:lpstr>
      <vt:lpstr>tav</vt:lpstr>
      <vt:lpstr>taw</vt:lpstr>
      <vt:lpstr>tax</vt:lpstr>
      <vt:lpstr>tay</vt:lpstr>
      <vt:lpstr>taz</vt:lpstr>
      <vt:lpstr>tb</vt:lpstr>
      <vt:lpstr>tba</vt:lpstr>
      <vt:lpstr>tbb</vt:lpstr>
      <vt:lpstr>tbc</vt:lpstr>
      <vt:lpstr>tbd</vt:lpstr>
      <vt:lpstr>tbe</vt:lpstr>
      <vt:lpstr>tbf</vt:lpstr>
      <vt:lpstr>tbg</vt:lpstr>
      <vt:lpstr>tbh</vt:lpstr>
      <vt:lpstr>tbi</vt:lpstr>
      <vt:lpstr>tbj</vt:lpstr>
      <vt:lpstr>tbk</vt:lpstr>
      <vt:lpstr>tbl</vt:lpstr>
      <vt:lpstr>tbm</vt:lpstr>
      <vt:lpstr>tbn</vt:lpstr>
      <vt:lpstr>tbo</vt:lpstr>
      <vt:lpstr>tbp</vt:lpstr>
      <vt:lpstr>tbq</vt:lpstr>
      <vt:lpstr>tbr</vt:lpstr>
      <vt:lpstr>tbs</vt:lpstr>
      <vt:lpstr>tbt</vt:lpstr>
      <vt:lpstr>tbu</vt:lpstr>
      <vt:lpstr>tbv</vt:lpstr>
      <vt:lpstr>tbw</vt:lpstr>
      <vt:lpstr>tbx</vt:lpstr>
      <vt:lpstr>tby</vt:lpstr>
      <vt:lpstr>tbz</vt:lpstr>
      <vt:lpstr>tc</vt:lpstr>
      <vt:lpstr>tca</vt:lpstr>
      <vt:lpstr>tcb</vt:lpstr>
      <vt:lpstr>tcc</vt:lpstr>
      <vt:lpstr>tcd</vt:lpstr>
      <vt:lpstr>tce</vt:lpstr>
      <vt:lpstr>tcf</vt:lpstr>
      <vt:lpstr>tcg</vt:lpstr>
      <vt:lpstr>tch</vt:lpstr>
      <vt:lpstr>tci</vt:lpstr>
      <vt:lpstr>tcj</vt:lpstr>
      <vt:lpstr>tck</vt:lpstr>
      <vt:lpstr>tcl</vt:lpstr>
      <vt:lpstr>tcm</vt:lpstr>
      <vt:lpstr>tcn</vt:lpstr>
      <vt:lpstr>tco</vt:lpstr>
      <vt:lpstr>tcp</vt:lpstr>
      <vt:lpstr>tcq</vt:lpstr>
      <vt:lpstr>tcr</vt:lpstr>
      <vt:lpstr>tcs</vt:lpstr>
      <vt:lpstr>tct</vt:lpstr>
      <vt:lpstr>tcu</vt:lpstr>
      <vt:lpstr>tcv</vt:lpstr>
      <vt:lpstr>tcw</vt:lpstr>
      <vt:lpstr>tcx</vt:lpstr>
      <vt:lpstr>tcy</vt:lpstr>
      <vt:lpstr>tcz</vt:lpstr>
      <vt:lpstr>td</vt:lpstr>
      <vt:lpstr>tda</vt:lpstr>
      <vt:lpstr>tdb</vt:lpstr>
      <vt:lpstr>tdc</vt:lpstr>
      <vt:lpstr>tdd</vt:lpstr>
      <vt:lpstr>tde</vt:lpstr>
      <vt:lpstr>tdf</vt:lpstr>
      <vt:lpstr>tdg</vt:lpstr>
      <vt:lpstr>tdh</vt:lpstr>
      <vt:lpstr>tdi</vt:lpstr>
      <vt:lpstr>tdj</vt:lpstr>
      <vt:lpstr>te</vt:lpstr>
      <vt:lpstr>tf</vt:lpstr>
      <vt:lpstr>tg</vt:lpstr>
      <vt:lpstr>th</vt:lpstr>
      <vt:lpstr>ti</vt:lpstr>
      <vt:lpstr>tj</vt:lpstr>
      <vt:lpstr>tk</vt:lpstr>
      <vt:lpstr>tl</vt:lpstr>
      <vt:lpstr>tm</vt:lpstr>
      <vt:lpstr>tn</vt:lpstr>
      <vt:lpstr>to</vt:lpstr>
      <vt:lpstr>tp</vt:lpstr>
      <vt:lpstr>tq</vt:lpstr>
      <vt:lpstr>tr</vt:lpstr>
      <vt:lpstr>ts</vt:lpstr>
      <vt:lpstr>tt</vt:lpstr>
      <vt:lpstr>tu</vt:lpstr>
      <vt:lpstr>tv</vt:lpstr>
      <vt:lpstr>tw</vt:lpstr>
      <vt:lpstr>tx</vt:lpstr>
      <vt:lpstr>ty</vt:lpstr>
      <vt:lpstr>tz</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dc:creator>
  <cp:lastModifiedBy>ab</cp:lastModifiedBy>
  <cp:lastPrinted>2011-07-06T12:24:54Z</cp:lastPrinted>
  <dcterms:created xsi:type="dcterms:W3CDTF">2011-06-24T13:54:52Z</dcterms:created>
  <dcterms:modified xsi:type="dcterms:W3CDTF">2011-12-14T07:25:53Z</dcterms:modified>
</cp:coreProperties>
</file>